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Common\Grants\Benefits Estimator\"/>
    </mc:Choice>
  </mc:AlternateContent>
  <xr:revisionPtr revIDLastSave="0" documentId="8_{ACC12C6B-8FDE-42D0-99F6-480853EDA7BB}" xr6:coauthVersionLast="43" xr6:coauthVersionMax="43" xr10:uidLastSave="{00000000-0000-0000-0000-000000000000}"/>
  <bookViews>
    <workbookView xWindow="-120" yWindow="-120" windowWidth="29040" windowHeight="15225" xr2:uid="{00000000-000D-0000-FFFF-FFFF00000000}"/>
  </bookViews>
  <sheets>
    <sheet name="2020-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8" i="1" l="1"/>
  <c r="A27" i="1"/>
  <c r="C36" i="1" l="1"/>
  <c r="C35" i="1"/>
  <c r="C32" i="1"/>
  <c r="D43" i="1" l="1"/>
  <c r="F40" i="1" l="1"/>
  <c r="A29" i="1" l="1"/>
  <c r="C19" i="1"/>
  <c r="B19" i="1"/>
  <c r="C15" i="1"/>
  <c r="B15" i="1"/>
  <c r="C11" i="1"/>
  <c r="B11" i="1"/>
  <c r="E8" i="1"/>
  <c r="F8" i="1" s="1"/>
  <c r="F12" i="1" s="1"/>
  <c r="C8" i="1"/>
  <c r="B8" i="1"/>
  <c r="H15" i="1" l="1"/>
  <c r="I15" i="1" s="1"/>
  <c r="C24" i="1"/>
  <c r="D8" i="1"/>
  <c r="H19" i="1"/>
  <c r="I19" i="1" s="1"/>
  <c r="H11" i="1"/>
  <c r="I11" i="1" s="1"/>
  <c r="G8" i="1"/>
  <c r="H8" i="1" l="1"/>
  <c r="I8" i="1" s="1"/>
</calcChain>
</file>

<file path=xl/sharedStrings.xml><?xml version="1.0" encoding="utf-8"?>
<sst xmlns="http://schemas.openxmlformats.org/spreadsheetml/2006/main" count="64" uniqueCount="39">
  <si>
    <t>Salary and Benefits Calculator</t>
  </si>
  <si>
    <t>**Enter salary amount on appropriate line and worksheet will calculate related benefits.</t>
  </si>
  <si>
    <t>For Full-Time Employees (I.E. GLC's 510,511,512,520,530,540)</t>
  </si>
  <si>
    <t>Salary</t>
  </si>
  <si>
    <t>FICA/MED</t>
  </si>
  <si>
    <t>Retirement</t>
  </si>
  <si>
    <t>Health</t>
  </si>
  <si>
    <t>Life</t>
  </si>
  <si>
    <t>Total Benefits</t>
  </si>
  <si>
    <t>Total Salary &amp; Benefits</t>
  </si>
  <si>
    <t>For Employees GLC's 521,522,531,541</t>
  </si>
  <si>
    <t>For Part-time Employees GLC's 560,561</t>
  </si>
  <si>
    <t>For Part-time Employees GLC's 565,570</t>
  </si>
  <si>
    <t>FICA/Medicare</t>
  </si>
  <si>
    <t>Retirement Regular Class</t>
  </si>
  <si>
    <t>Health Plan</t>
  </si>
  <si>
    <t>using PPO Plan, not HMO</t>
  </si>
  <si>
    <t>2016-17</t>
  </si>
  <si>
    <t>2015-16</t>
  </si>
  <si>
    <t>F-Regular</t>
  </si>
  <si>
    <t xml:space="preserve">P-Optional </t>
  </si>
  <si>
    <t>D-Drop</t>
  </si>
  <si>
    <t>M-SR Mgt</t>
  </si>
  <si>
    <t>R-Special Risk</t>
  </si>
  <si>
    <t>N-Optional Adm</t>
  </si>
  <si>
    <t>U-Return to FRS</t>
  </si>
  <si>
    <t>A-PPO</t>
  </si>
  <si>
    <t>B-HMO</t>
  </si>
  <si>
    <t>C-Opt out</t>
  </si>
  <si>
    <t>D-HRA</t>
  </si>
  <si>
    <t>FRS</t>
  </si>
  <si>
    <t xml:space="preserve">Health </t>
  </si>
  <si>
    <t>2017-18</t>
  </si>
  <si>
    <t>Health Calculation Estimate:</t>
  </si>
  <si>
    <t>2018-19</t>
  </si>
  <si>
    <t>FY 2020-21</t>
  </si>
  <si>
    <t>2020-21</t>
  </si>
  <si>
    <t>[$721 (current monthly premium) * 5 months (Jul-Nov)]</t>
  </si>
  <si>
    <t>[($721 *1.07) * 7 months (Dec-Jun)]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</si>
</sst>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u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4" xfId="0" applyFont="1" applyBorder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0" xfId="0" applyAlignment="1">
      <alignment wrapText="1"/>
    </xf>
    <xf numFmtId="164" fontId="6" fillId="0" borderId="6" xfId="2" applyNumberFormat="1" applyFont="1" applyBorder="1" applyProtection="1">
      <protection locked="0"/>
    </xf>
    <xf numFmtId="164" fontId="7" fillId="0" borderId="7" xfId="2" applyNumberFormat="1" applyFont="1" applyBorder="1"/>
    <xf numFmtId="164" fontId="7" fillId="0" borderId="7" xfId="2" applyNumberFormat="1" applyFont="1" applyFill="1" applyBorder="1" applyProtection="1">
      <protection locked="0"/>
    </xf>
    <xf numFmtId="164" fontId="7" fillId="0" borderId="7" xfId="2" applyNumberFormat="1" applyFont="1" applyBorder="1" applyProtection="1">
      <protection locked="0"/>
    </xf>
    <xf numFmtId="165" fontId="7" fillId="0" borderId="7" xfId="2" applyNumberFormat="1" applyFont="1" applyBorder="1"/>
    <xf numFmtId="164" fontId="8" fillId="0" borderId="8" xfId="2" applyNumberFormat="1" applyFont="1" applyBorder="1" applyAlignment="1">
      <alignment horizontal="center"/>
    </xf>
    <xf numFmtId="44" fontId="0" fillId="0" borderId="3" xfId="0" applyNumberFormat="1" applyBorder="1"/>
    <xf numFmtId="0" fontId="0" fillId="0" borderId="4" xfId="0" applyBorder="1"/>
    <xf numFmtId="44" fontId="0" fillId="0" borderId="0" xfId="0" applyNumberFormat="1" applyBorder="1"/>
    <xf numFmtId="10" fontId="0" fillId="0" borderId="0" xfId="0" applyNumberFormat="1"/>
    <xf numFmtId="164" fontId="0" fillId="0" borderId="0" xfId="2" applyNumberFormat="1" applyFont="1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166" fontId="0" fillId="0" borderId="12" xfId="1" applyNumberFormat="1" applyFont="1" applyBorder="1"/>
    <xf numFmtId="0" fontId="0" fillId="0" borderId="13" xfId="0" applyBorder="1"/>
    <xf numFmtId="166" fontId="0" fillId="0" borderId="14" xfId="1" applyNumberFormat="1" applyFont="1" applyBorder="1"/>
    <xf numFmtId="0" fontId="0" fillId="0" borderId="16" xfId="0" applyBorder="1"/>
    <xf numFmtId="0" fontId="0" fillId="0" borderId="17" xfId="0" applyBorder="1"/>
    <xf numFmtId="10" fontId="0" fillId="0" borderId="0" xfId="0" applyNumberFormat="1" applyAlignment="1">
      <alignment horizontal="center"/>
    </xf>
    <xf numFmtId="10" fontId="0" fillId="0" borderId="0" xfId="3" applyNumberFormat="1" applyFont="1" applyBorder="1"/>
    <xf numFmtId="10" fontId="0" fillId="0" borderId="7" xfId="3" applyNumberFormat="1" applyFont="1" applyBorder="1"/>
    <xf numFmtId="0" fontId="0" fillId="0" borderId="12" xfId="0" applyBorder="1"/>
    <xf numFmtId="10" fontId="0" fillId="0" borderId="13" xfId="3" applyNumberFormat="1" applyFont="1" applyBorder="1"/>
    <xf numFmtId="0" fontId="0" fillId="0" borderId="14" xfId="0" applyBorder="1"/>
    <xf numFmtId="10" fontId="0" fillId="0" borderId="18" xfId="3" applyNumberFormat="1" applyFont="1" applyBorder="1"/>
    <xf numFmtId="0" fontId="0" fillId="0" borderId="12" xfId="0" applyFill="1" applyBorder="1"/>
    <xf numFmtId="164" fontId="0" fillId="0" borderId="0" xfId="2" applyNumberFormat="1" applyFont="1" applyBorder="1"/>
    <xf numFmtId="164" fontId="0" fillId="0" borderId="13" xfId="2" applyNumberFormat="1" applyFont="1" applyBorder="1"/>
    <xf numFmtId="0" fontId="0" fillId="0" borderId="15" xfId="0" applyBorder="1"/>
    <xf numFmtId="164" fontId="0" fillId="0" borderId="16" xfId="2" applyNumberFormat="1" applyFont="1" applyBorder="1"/>
    <xf numFmtId="164" fontId="0" fillId="0" borderId="17" xfId="2" applyNumberFormat="1" applyFont="1" applyBorder="1"/>
    <xf numFmtId="0" fontId="9" fillId="0" borderId="0" xfId="0" applyFont="1" applyAlignment="1">
      <alignment horizontal="right"/>
    </xf>
    <xf numFmtId="164" fontId="10" fillId="0" borderId="15" xfId="2" applyNumberFormat="1" applyFont="1" applyBorder="1"/>
    <xf numFmtId="10" fontId="11" fillId="0" borderId="0" xfId="0" applyNumberFormat="1" applyFont="1"/>
    <xf numFmtId="2" fontId="0" fillId="0" borderId="0" xfId="0" applyNumberFormat="1"/>
    <xf numFmtId="2" fontId="0" fillId="0" borderId="0" xfId="2" applyNumberFormat="1" applyFont="1" applyFill="1" applyBorder="1"/>
    <xf numFmtId="0" fontId="0" fillId="0" borderId="7" xfId="0" applyBorder="1"/>
    <xf numFmtId="0" fontId="0" fillId="0" borderId="0" xfId="0" applyFill="1" applyBorder="1"/>
    <xf numFmtId="9" fontId="0" fillId="0" borderId="0" xfId="3" applyFont="1" applyBorder="1"/>
    <xf numFmtId="9" fontId="0" fillId="0" borderId="7" xfId="3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workbookViewId="0">
      <selection activeCell="A8" sqref="A8"/>
    </sheetView>
  </sheetViews>
  <sheetFormatPr defaultColWidth="8.85546875" defaultRowHeight="15" x14ac:dyDescent="0.25"/>
  <cols>
    <col min="1" max="1" width="15.42578125" customWidth="1"/>
    <col min="2" max="2" width="12.7109375" customWidth="1"/>
    <col min="3" max="3" width="13" customWidth="1"/>
    <col min="4" max="4" width="11.42578125" customWidth="1"/>
    <col min="5" max="5" width="8.7109375" hidden="1" customWidth="1"/>
    <col min="6" max="6" width="10.7109375" hidden="1" customWidth="1"/>
    <col min="7" max="7" width="11.28515625" customWidth="1"/>
    <col min="8" max="8" width="16.42578125" customWidth="1"/>
    <col min="9" max="9" width="19.42578125" customWidth="1"/>
  </cols>
  <sheetData>
    <row r="1" spans="1:9" ht="20.25" x14ac:dyDescent="0.3">
      <c r="A1" s="53" t="s">
        <v>0</v>
      </c>
      <c r="B1" s="54"/>
      <c r="C1" s="54"/>
      <c r="D1" s="54"/>
      <c r="E1" s="54"/>
      <c r="F1" s="54"/>
      <c r="G1" s="54"/>
      <c r="H1" s="54"/>
      <c r="I1" s="55"/>
    </row>
    <row r="2" spans="1:9" ht="20.25" x14ac:dyDescent="0.3">
      <c r="A2" s="56" t="s">
        <v>35</v>
      </c>
      <c r="B2" s="57"/>
      <c r="C2" s="57"/>
      <c r="D2" s="57"/>
      <c r="E2" s="57"/>
      <c r="F2" s="57"/>
      <c r="G2" s="57"/>
      <c r="H2" s="57"/>
      <c r="I2" s="58"/>
    </row>
    <row r="3" spans="1:9" ht="20.25" x14ac:dyDescent="0.3">
      <c r="A3" s="1"/>
      <c r="B3" s="2"/>
      <c r="C3" s="2"/>
      <c r="D3" s="2"/>
      <c r="E3" s="2"/>
      <c r="F3" s="2"/>
      <c r="G3" s="2"/>
      <c r="H3" s="2"/>
      <c r="I3" s="3"/>
    </row>
    <row r="4" spans="1:9" x14ac:dyDescent="0.25">
      <c r="A4" s="4" t="s">
        <v>1</v>
      </c>
      <c r="B4" s="2"/>
      <c r="C4" s="2"/>
      <c r="D4" s="2"/>
      <c r="E4" s="2"/>
      <c r="F4" s="2"/>
      <c r="G4" s="2"/>
      <c r="H4" s="2"/>
      <c r="I4" s="3"/>
    </row>
    <row r="5" spans="1:9" x14ac:dyDescent="0.25">
      <c r="A5" s="4"/>
      <c r="B5" s="2"/>
      <c r="C5" s="2"/>
      <c r="D5" s="2"/>
      <c r="E5" s="2"/>
      <c r="F5" s="2"/>
      <c r="G5" s="2"/>
      <c r="H5" s="2"/>
      <c r="I5" s="3"/>
    </row>
    <row r="6" spans="1:9" ht="18.75" x14ac:dyDescent="0.3">
      <c r="A6" s="5" t="s">
        <v>2</v>
      </c>
      <c r="B6" s="6"/>
      <c r="C6" s="6"/>
      <c r="D6" s="6"/>
      <c r="E6" s="6"/>
      <c r="F6" s="6"/>
      <c r="G6" s="6"/>
      <c r="H6" s="6"/>
      <c r="I6" s="7"/>
    </row>
    <row r="7" spans="1:9" s="11" customFormat="1" ht="33.75" customHeight="1" x14ac:dyDescent="0.25">
      <c r="A7" s="8" t="s">
        <v>3</v>
      </c>
      <c r="B7" s="9" t="s">
        <v>4</v>
      </c>
      <c r="C7" s="9" t="s">
        <v>5</v>
      </c>
      <c r="D7" s="9" t="s">
        <v>6</v>
      </c>
      <c r="E7" s="9"/>
      <c r="F7" s="9" t="s">
        <v>7</v>
      </c>
      <c r="G7" s="9" t="s">
        <v>7</v>
      </c>
      <c r="H7" s="9" t="s">
        <v>8</v>
      </c>
      <c r="I7" s="10" t="s">
        <v>9</v>
      </c>
    </row>
    <row r="8" spans="1:9" ht="26.25" customHeight="1" x14ac:dyDescent="0.25">
      <c r="A8" s="12">
        <v>0</v>
      </c>
      <c r="B8" s="13">
        <f>ROUNDUP($A$8*C22,0)</f>
        <v>0</v>
      </c>
      <c r="C8" s="13">
        <f>ROUNDUP($A$8*C23,0)</f>
        <v>0</v>
      </c>
      <c r="D8" s="14">
        <f>A29</f>
        <v>9005.2900000000009</v>
      </c>
      <c r="E8" s="15">
        <f>ROUNDUP(A8,-3)</f>
        <v>0</v>
      </c>
      <c r="F8" s="16">
        <f>(E8*1.5)/1000</f>
        <v>0</v>
      </c>
      <c r="G8" s="13">
        <f>ROUNDUP(F8*2.16,0)</f>
        <v>0</v>
      </c>
      <c r="H8" s="13">
        <f>B8+C8+D8+G8</f>
        <v>9005.2900000000009</v>
      </c>
      <c r="I8" s="17">
        <f>A8+H8</f>
        <v>9005.2900000000009</v>
      </c>
    </row>
    <row r="9" spans="1:9" ht="18.75" x14ac:dyDescent="0.3">
      <c r="A9" s="5" t="s">
        <v>10</v>
      </c>
      <c r="B9" s="6"/>
      <c r="C9" s="6"/>
      <c r="D9" s="6"/>
      <c r="E9" s="6"/>
      <c r="F9" s="6"/>
      <c r="G9" s="6"/>
      <c r="H9" s="6"/>
      <c r="I9" s="18"/>
    </row>
    <row r="10" spans="1:9" s="11" customFormat="1" ht="31.5" x14ac:dyDescent="0.25">
      <c r="A10" s="8" t="s">
        <v>3</v>
      </c>
      <c r="B10" s="9" t="s">
        <v>4</v>
      </c>
      <c r="C10" s="9" t="s">
        <v>5</v>
      </c>
      <c r="D10" s="9" t="s">
        <v>6</v>
      </c>
      <c r="E10" s="9"/>
      <c r="F10" s="9" t="s">
        <v>7</v>
      </c>
      <c r="G10" s="9" t="s">
        <v>7</v>
      </c>
      <c r="H10" s="9" t="s">
        <v>8</v>
      </c>
      <c r="I10" s="10" t="s">
        <v>9</v>
      </c>
    </row>
    <row r="11" spans="1:9" ht="28.5" customHeight="1" x14ac:dyDescent="0.25">
      <c r="A11" s="12"/>
      <c r="B11" s="13">
        <f>ROUNDUP($A$11*C22,0)</f>
        <v>0</v>
      </c>
      <c r="C11" s="13">
        <f>ROUNDUP($A$11*C23,0)</f>
        <v>0</v>
      </c>
      <c r="D11" s="13">
        <v>0</v>
      </c>
      <c r="E11" s="13"/>
      <c r="F11" s="16">
        <v>0</v>
      </c>
      <c r="G11" s="13">
        <v>0</v>
      </c>
      <c r="H11" s="13">
        <f>B11+C11+D11+G11</f>
        <v>0</v>
      </c>
      <c r="I11" s="17">
        <f>A11+H11</f>
        <v>0</v>
      </c>
    </row>
    <row r="12" spans="1:9" x14ac:dyDescent="0.25">
      <c r="A12" s="19"/>
      <c r="B12" s="20"/>
      <c r="C12" s="20"/>
      <c r="D12" s="20"/>
      <c r="E12" s="20"/>
      <c r="F12" s="20">
        <f>SUM(F8:F11)</f>
        <v>0</v>
      </c>
      <c r="G12" s="20"/>
      <c r="H12" s="20"/>
      <c r="I12" s="3"/>
    </row>
    <row r="13" spans="1:9" ht="18.75" x14ac:dyDescent="0.3">
      <c r="A13" s="5" t="s">
        <v>11</v>
      </c>
      <c r="B13" s="6"/>
      <c r="C13" s="6"/>
      <c r="D13" s="6"/>
      <c r="E13" s="6"/>
      <c r="F13" s="6"/>
      <c r="G13" s="6"/>
      <c r="H13" s="6"/>
      <c r="I13" s="7"/>
    </row>
    <row r="14" spans="1:9" s="11" customFormat="1" ht="31.5" x14ac:dyDescent="0.25">
      <c r="A14" s="8" t="s">
        <v>3</v>
      </c>
      <c r="B14" s="9" t="s">
        <v>4</v>
      </c>
      <c r="C14" s="9" t="s">
        <v>5</v>
      </c>
      <c r="D14" s="9" t="s">
        <v>6</v>
      </c>
      <c r="E14" s="9"/>
      <c r="F14" s="9" t="s">
        <v>7</v>
      </c>
      <c r="G14" s="9" t="s">
        <v>7</v>
      </c>
      <c r="H14" s="9" t="s">
        <v>8</v>
      </c>
      <c r="I14" s="10" t="s">
        <v>9</v>
      </c>
    </row>
    <row r="15" spans="1:9" ht="28.5" customHeight="1" x14ac:dyDescent="0.25">
      <c r="A15" s="12"/>
      <c r="B15" s="13">
        <f>ROUNDUP($A$15*0.0145,0)</f>
        <v>0</v>
      </c>
      <c r="C15" s="13">
        <f>ROUNDUP($A$15*0,0)</f>
        <v>0</v>
      </c>
      <c r="D15" s="13">
        <v>0</v>
      </c>
      <c r="E15" s="13"/>
      <c r="F15" s="13">
        <v>0</v>
      </c>
      <c r="G15" s="13">
        <v>0</v>
      </c>
      <c r="H15" s="13">
        <f>B15+C15+D15+G15</f>
        <v>0</v>
      </c>
      <c r="I15" s="17">
        <f>A15+H15</f>
        <v>0</v>
      </c>
    </row>
    <row r="16" spans="1:9" x14ac:dyDescent="0.25">
      <c r="A16" s="19"/>
      <c r="B16" s="2"/>
      <c r="C16" s="2"/>
      <c r="D16" s="2"/>
      <c r="E16" s="2"/>
      <c r="F16" s="2"/>
      <c r="G16" s="2"/>
      <c r="H16" s="2"/>
      <c r="I16" s="3"/>
    </row>
    <row r="17" spans="1:9" ht="18.75" x14ac:dyDescent="0.3">
      <c r="A17" s="5" t="s">
        <v>12</v>
      </c>
      <c r="B17" s="6"/>
      <c r="C17" s="6"/>
      <c r="D17" s="6"/>
      <c r="E17" s="6"/>
      <c r="F17" s="6"/>
      <c r="G17" s="6"/>
      <c r="H17" s="6"/>
      <c r="I17" s="7"/>
    </row>
    <row r="18" spans="1:9" s="11" customFormat="1" ht="31.5" x14ac:dyDescent="0.25">
      <c r="A18" s="8" t="s">
        <v>3</v>
      </c>
      <c r="B18" s="9" t="s">
        <v>4</v>
      </c>
      <c r="C18" s="9" t="s">
        <v>5</v>
      </c>
      <c r="D18" s="9" t="s">
        <v>6</v>
      </c>
      <c r="E18" s="9"/>
      <c r="F18" s="9" t="s">
        <v>7</v>
      </c>
      <c r="G18" s="9" t="s">
        <v>7</v>
      </c>
      <c r="H18" s="9" t="s">
        <v>8</v>
      </c>
      <c r="I18" s="10" t="s">
        <v>9</v>
      </c>
    </row>
    <row r="19" spans="1:9" ht="31.5" customHeight="1" x14ac:dyDescent="0.25">
      <c r="A19" s="12"/>
      <c r="B19" s="13">
        <f>ROUNDUP($A$19*C22,0)</f>
        <v>0</v>
      </c>
      <c r="C19" s="13">
        <f>ROUNDUP($A$19*0,0)</f>
        <v>0</v>
      </c>
      <c r="D19" s="13">
        <v>0</v>
      </c>
      <c r="E19" s="13"/>
      <c r="F19" s="13">
        <v>0</v>
      </c>
      <c r="G19" s="13">
        <v>0</v>
      </c>
      <c r="H19" s="13">
        <f>B19+C19+D19+G19</f>
        <v>0</v>
      </c>
      <c r="I19" s="17">
        <f>A19+H19</f>
        <v>0</v>
      </c>
    </row>
    <row r="22" spans="1:9" x14ac:dyDescent="0.25">
      <c r="A22" t="s">
        <v>13</v>
      </c>
      <c r="B22" s="21"/>
      <c r="C22" s="21">
        <v>7.6499999999999999E-2</v>
      </c>
    </row>
    <row r="23" spans="1:9" x14ac:dyDescent="0.25">
      <c r="A23" t="s">
        <v>14</v>
      </c>
      <c r="C23" s="46">
        <v>0.1</v>
      </c>
      <c r="D23" s="44"/>
      <c r="G23" s="31"/>
    </row>
    <row r="24" spans="1:9" x14ac:dyDescent="0.25">
      <c r="A24" t="s">
        <v>15</v>
      </c>
      <c r="C24" s="22">
        <f>A29</f>
        <v>9005.2900000000009</v>
      </c>
      <c r="D24" t="s">
        <v>16</v>
      </c>
    </row>
    <row r="25" spans="1:9" ht="15.75" thickBot="1" x14ac:dyDescent="0.3"/>
    <row r="26" spans="1:9" x14ac:dyDescent="0.25">
      <c r="A26" s="23" t="s">
        <v>33</v>
      </c>
      <c r="B26" s="24"/>
      <c r="C26" s="24"/>
      <c r="D26" s="24"/>
      <c r="E26" s="24"/>
      <c r="F26" s="24"/>
      <c r="G26" s="24"/>
      <c r="H26" s="25"/>
    </row>
    <row r="27" spans="1:9" x14ac:dyDescent="0.25">
      <c r="A27" s="26">
        <f>721*5</f>
        <v>3605</v>
      </c>
      <c r="B27" s="2" t="s">
        <v>37</v>
      </c>
      <c r="C27" s="2"/>
      <c r="D27" s="2"/>
      <c r="E27" s="2"/>
      <c r="F27" s="2"/>
      <c r="G27" s="2"/>
      <c r="H27" s="27"/>
    </row>
    <row r="28" spans="1:9" x14ac:dyDescent="0.25">
      <c r="A28" s="28">
        <f>(721*1.07)*7</f>
        <v>5400.29</v>
      </c>
      <c r="B28" s="2" t="s">
        <v>38</v>
      </c>
      <c r="C28" s="2"/>
      <c r="D28" s="2"/>
      <c r="E28" s="2"/>
      <c r="F28" s="2"/>
      <c r="G28" s="2"/>
      <c r="H28" s="27"/>
    </row>
    <row r="29" spans="1:9" ht="15.75" thickBot="1" x14ac:dyDescent="0.3">
      <c r="A29" s="45">
        <f>SUM(A27:A28)</f>
        <v>9005.2900000000009</v>
      </c>
      <c r="B29" s="29"/>
      <c r="C29" s="29"/>
      <c r="D29" s="29"/>
      <c r="E29" s="29"/>
      <c r="F29" s="29"/>
      <c r="G29" s="29"/>
      <c r="H29" s="30"/>
    </row>
    <row r="31" spans="1:9" hidden="1" x14ac:dyDescent="0.25">
      <c r="A31" s="23" t="s">
        <v>30</v>
      </c>
      <c r="B31" s="24"/>
      <c r="C31" s="24" t="s">
        <v>36</v>
      </c>
      <c r="D31" s="24" t="s">
        <v>34</v>
      </c>
      <c r="E31" s="24" t="s">
        <v>32</v>
      </c>
      <c r="F31" s="24" t="s">
        <v>17</v>
      </c>
      <c r="G31" s="25" t="s">
        <v>18</v>
      </c>
    </row>
    <row r="32" spans="1:9" hidden="1" x14ac:dyDescent="0.25">
      <c r="A32" s="34" t="s">
        <v>19</v>
      </c>
      <c r="B32" s="2"/>
      <c r="C32" s="51">
        <f>(4.84+3.44+1.72)/100</f>
        <v>0.1</v>
      </c>
      <c r="D32" s="32">
        <v>8.2600000000000007E-2</v>
      </c>
      <c r="E32" s="32">
        <v>7.9200000000000007E-2</v>
      </c>
      <c r="F32" s="32">
        <v>7.5200000000000003E-2</v>
      </c>
      <c r="G32" s="35">
        <v>7.2599999999999998E-2</v>
      </c>
    </row>
    <row r="33" spans="1:12" hidden="1" x14ac:dyDescent="0.25">
      <c r="A33" s="34" t="s">
        <v>20</v>
      </c>
      <c r="B33" s="2"/>
      <c r="C33" s="51"/>
      <c r="D33" s="32">
        <v>8.6499999999999994E-2</v>
      </c>
      <c r="E33" s="32">
        <v>7.9799999999999996E-2</v>
      </c>
      <c r="F33" s="32">
        <v>7.9799999999999996E-2</v>
      </c>
      <c r="G33" s="35">
        <v>7.8E-2</v>
      </c>
    </row>
    <row r="34" spans="1:12" hidden="1" x14ac:dyDescent="0.25">
      <c r="A34" s="34" t="s">
        <v>25</v>
      </c>
      <c r="B34" s="2"/>
      <c r="C34" s="51"/>
      <c r="D34" s="32">
        <v>5.16E-2</v>
      </c>
      <c r="E34" s="32">
        <v>4.9599999999999998E-2</v>
      </c>
      <c r="F34" s="32">
        <v>4.4900000000000002E-2</v>
      </c>
      <c r="G34" s="35">
        <v>4.3099999999999999E-2</v>
      </c>
    </row>
    <row r="35" spans="1:12" hidden="1" x14ac:dyDescent="0.25">
      <c r="A35" s="34" t="s">
        <v>21</v>
      </c>
      <c r="B35" s="2"/>
      <c r="C35" s="51">
        <f>(7.03+8.29+1.72)/100</f>
        <v>0.1704</v>
      </c>
      <c r="D35" s="32">
        <v>0.14030000000000001</v>
      </c>
      <c r="E35" s="32">
        <v>0.1326</v>
      </c>
      <c r="F35" s="32">
        <v>0.12989999999999999</v>
      </c>
      <c r="G35" s="35">
        <v>0.1288</v>
      </c>
    </row>
    <row r="36" spans="1:12" hidden="1" x14ac:dyDescent="0.25">
      <c r="A36" s="34" t="s">
        <v>22</v>
      </c>
      <c r="B36" s="2"/>
      <c r="C36" s="51">
        <f>(6.39+19.18+1.72)/100</f>
        <v>0.27289999999999998</v>
      </c>
      <c r="D36" s="32">
        <v>0.24060000000000001</v>
      </c>
      <c r="E36" s="32">
        <v>0.2271</v>
      </c>
      <c r="F36" s="32">
        <v>0.2177</v>
      </c>
      <c r="G36" s="35">
        <v>0.2114</v>
      </c>
    </row>
    <row r="37" spans="1:12" hidden="1" x14ac:dyDescent="0.25">
      <c r="A37" s="34" t="s">
        <v>23</v>
      </c>
      <c r="B37" s="2"/>
      <c r="C37" s="51"/>
      <c r="D37" s="32">
        <v>0.245</v>
      </c>
      <c r="E37" s="32">
        <v>0.23269999999999999</v>
      </c>
      <c r="F37" s="32">
        <v>0.22570000000000001</v>
      </c>
      <c r="G37" s="35">
        <v>0.22040000000000001</v>
      </c>
    </row>
    <row r="38" spans="1:12" hidden="1" x14ac:dyDescent="0.25">
      <c r="A38" s="36" t="s">
        <v>24</v>
      </c>
      <c r="B38" s="49"/>
      <c r="C38" s="52"/>
      <c r="D38" s="33">
        <v>9.6500000000000002E-2</v>
      </c>
      <c r="E38" s="33">
        <v>9.6500000000000002E-2</v>
      </c>
      <c r="F38" s="33">
        <v>9.6500000000000002E-2</v>
      </c>
      <c r="G38" s="37">
        <v>9.6500000000000002E-2</v>
      </c>
    </row>
    <row r="39" spans="1:12" hidden="1" x14ac:dyDescent="0.25">
      <c r="A39" s="38" t="s">
        <v>31</v>
      </c>
      <c r="B39" s="50"/>
      <c r="C39" s="50"/>
      <c r="D39" s="2"/>
      <c r="E39" s="2"/>
      <c r="F39" s="2"/>
      <c r="G39" s="27"/>
    </row>
    <row r="40" spans="1:12" hidden="1" x14ac:dyDescent="0.25">
      <c r="A40" s="34" t="s">
        <v>26</v>
      </c>
      <c r="B40" s="2"/>
      <c r="C40" s="2"/>
      <c r="D40" s="39">
        <v>7966</v>
      </c>
      <c r="E40" s="39">
        <v>7497</v>
      </c>
      <c r="F40" s="39">
        <f>607*12</f>
        <v>7284</v>
      </c>
      <c r="G40" s="40">
        <v>6541</v>
      </c>
      <c r="H40" s="47"/>
      <c r="J40" s="47"/>
      <c r="L40" s="47"/>
    </row>
    <row r="41" spans="1:12" hidden="1" x14ac:dyDescent="0.25">
      <c r="A41" s="34" t="s">
        <v>27</v>
      </c>
      <c r="B41" s="2"/>
      <c r="C41" s="2"/>
      <c r="D41" s="39">
        <v>10078</v>
      </c>
      <c r="E41" s="39">
        <v>9485</v>
      </c>
      <c r="F41" s="39">
        <v>9216</v>
      </c>
      <c r="G41" s="40">
        <v>7363</v>
      </c>
      <c r="H41" s="48"/>
      <c r="J41" s="47"/>
      <c r="L41" s="47"/>
    </row>
    <row r="42" spans="1:12" hidden="1" x14ac:dyDescent="0.25">
      <c r="A42" s="34" t="s">
        <v>28</v>
      </c>
      <c r="B42" s="2"/>
      <c r="C42" s="2"/>
      <c r="D42" s="39">
        <v>984</v>
      </c>
      <c r="E42" s="39">
        <v>991</v>
      </c>
      <c r="F42" s="39">
        <v>963</v>
      </c>
      <c r="G42" s="40">
        <v>1332</v>
      </c>
      <c r="H42" s="48"/>
      <c r="J42" s="47"/>
      <c r="L42" s="47"/>
    </row>
    <row r="43" spans="1:12" ht="15.75" hidden="1" thickBot="1" x14ac:dyDescent="0.3">
      <c r="A43" s="41" t="s">
        <v>29</v>
      </c>
      <c r="B43" s="29"/>
      <c r="C43" s="29"/>
      <c r="D43" s="42">
        <f>5660+500</f>
        <v>6160</v>
      </c>
      <c r="E43" s="42">
        <v>6624</v>
      </c>
      <c r="F43" s="42">
        <v>6624</v>
      </c>
      <c r="G43" s="43">
        <v>5617</v>
      </c>
      <c r="H43" s="48"/>
      <c r="J43" s="47"/>
      <c r="L43" s="47"/>
    </row>
    <row r="44" spans="1:12" x14ac:dyDescent="0.25">
      <c r="H44" s="47"/>
    </row>
  </sheetData>
  <mergeCells count="2">
    <mergeCell ref="A1:I1"/>
    <mergeCell ref="A2:I2"/>
  </mergeCells>
  <printOptions horizontalCentered="1"/>
  <pageMargins left="0.2" right="0.2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2020-21</vt:lpstr>
    </vt:vector>
  </TitlesOfParts>
  <Company>Santa Fe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Dennis O'Hearn</cp:lastModifiedBy>
  <cp:lastPrinted>2014-06-17T14:51:37Z</cp:lastPrinted>
  <dcterms:created xsi:type="dcterms:W3CDTF">2014-03-17T12:35:57Z</dcterms:created>
  <dcterms:modified xsi:type="dcterms:W3CDTF">2020-04-21T12:17:56Z</dcterms:modified>
</cp:coreProperties>
</file>