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collegeedu.sharepoint.com/sites/OfficeforFinance/Common/Grants/Benefits Estimator/"/>
    </mc:Choice>
  </mc:AlternateContent>
  <xr:revisionPtr revIDLastSave="11" documentId="8_{807D9752-8109-4227-9524-07ACF6732956}" xr6:coauthVersionLast="47" xr6:coauthVersionMax="47" xr10:uidLastSave="{19E7D149-06AB-49BC-8BFC-A66B74FF7525}"/>
  <bookViews>
    <workbookView xWindow="-120" yWindow="-120" windowWidth="29040" windowHeight="15225" firstSheet="1" activeTab="1" xr2:uid="{00000000-000D-0000-FFFF-FFFF00000000}"/>
  </bookViews>
  <sheets>
    <sheet name="2020-21" sheetId="2" state="hidden" r:id="rId1"/>
    <sheet name="2022-23" sheetId="1" r:id="rId2"/>
  </sheets>
  <definedNames>
    <definedName name="_xlnm.Print_Area" localSheetId="1">'2022-23'!$A$1:$G$29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1" i="1"/>
  <c r="B44" i="1"/>
  <c r="B42" i="1"/>
  <c r="B41" i="1"/>
  <c r="B40" i="1"/>
  <c r="C40" i="1"/>
  <c r="D40" i="1"/>
  <c r="E40" i="1"/>
  <c r="F40" i="1"/>
  <c r="G40" i="1"/>
  <c r="C41" i="1"/>
  <c r="D41" i="1"/>
  <c r="E41" i="1"/>
  <c r="F41" i="1"/>
  <c r="G41" i="1"/>
  <c r="C42" i="1"/>
  <c r="G42" i="1"/>
  <c r="F43" i="1"/>
  <c r="G43" i="1"/>
  <c r="C44" i="1"/>
  <c r="D44" i="1"/>
  <c r="E44" i="1"/>
  <c r="A28" i="1"/>
  <c r="A27" i="1"/>
  <c r="D43" i="2" l="1"/>
  <c r="F40" i="2"/>
  <c r="H28" i="2"/>
  <c r="I28" i="2" s="1"/>
  <c r="A28" i="2"/>
  <c r="A29" i="2" s="1"/>
  <c r="H27" i="2"/>
  <c r="I27" i="2" s="1"/>
  <c r="A27" i="2"/>
  <c r="F19" i="2"/>
  <c r="G19" i="2" s="1"/>
  <c r="C19" i="2"/>
  <c r="B19" i="2"/>
  <c r="C15" i="2"/>
  <c r="B15" i="2"/>
  <c r="F15" i="2" s="1"/>
  <c r="G15" i="2" s="1"/>
  <c r="F11" i="2"/>
  <c r="G11" i="2" s="1"/>
  <c r="C11" i="2"/>
  <c r="B11" i="2"/>
  <c r="E8" i="2"/>
  <c r="C8" i="2"/>
  <c r="B8" i="2"/>
  <c r="E8" i="1"/>
  <c r="D8" i="2" l="1"/>
  <c r="C24" i="2"/>
  <c r="F8" i="2"/>
  <c r="G8" i="2" s="1"/>
  <c r="A29" i="1" l="1"/>
  <c r="C19" i="1"/>
  <c r="B19" i="1"/>
  <c r="C15" i="1"/>
  <c r="B15" i="1"/>
  <c r="B11" i="1"/>
  <c r="B8" i="1"/>
  <c r="D8" i="1" l="1"/>
  <c r="F8" i="1" s="1"/>
  <c r="G8" i="1" s="1"/>
  <c r="C24" i="1"/>
  <c r="F15" i="1"/>
  <c r="G15" i="1" s="1"/>
  <c r="F19" i="1"/>
  <c r="G19" i="1" s="1"/>
  <c r="F11" i="1"/>
  <c r="G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O'Hearn</author>
  </authors>
  <commentList>
    <comment ref="B40" authorId="0" shapeId="0" xr:uid="{A1A72771-F778-4D7C-BF0A-3B8DC8645AFC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12/01/21: $792 (4.49% increase over 2020)
12/01/22: $000 (0.00% increase over 2021)</t>
        </r>
      </text>
    </comment>
    <comment ref="C40" authorId="0" shapeId="0" xr:uid="{C769DEC7-BD5D-4359-B077-36DBA31F18B7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$758 (5.13% increase over 2019)
12/01/21: $</t>
        </r>
      </text>
    </comment>
    <comment ref="D40" authorId="0" shapeId="0" xr:uid="{91A5BE40-60EF-4EAB-8634-8A74E4BE16C2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$721 (6% increase over 2018)
12/01/20: $758 (5.13% increase over 2019)</t>
        </r>
      </text>
    </comment>
    <comment ref="E40" authorId="0" shapeId="0" xr:uid="{C63F638E-C7A0-4DEE-82CE-D9A0B4DDF7F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$683
12/01/19: $721 (6% increase)</t>
        </r>
      </text>
    </comment>
    <comment ref="F40" authorId="0" shapeId="0" xr:uid="{3D3ECE2C-734A-4438-B7FC-95C9CBC9E05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$683
12/01/17: $637
</t>
        </r>
      </text>
    </comment>
    <comment ref="G40" authorId="0" shapeId="0" xr:uid="{6D4750C8-3F82-4279-AC42-90FDD5254FE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12/01/17: $637 ($7,644l)
12/01/16: $607</t>
        </r>
      </text>
    </comment>
    <comment ref="B41" authorId="0" shapeId="0" xr:uid="{AF7D747E-3B8D-4BED-9654-3A1907ECBF78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12/01/21: $1,001 (4.49% increase over 2020)
12/01/21:</t>
        </r>
      </text>
    </comment>
    <comment ref="C41" authorId="0" shapeId="0" xr:uid="{BF405668-8E67-42E7-99C0-18DD82C0F188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$958 (5.04% increase over 2019)
12/01/21:</t>
        </r>
      </text>
    </comment>
    <comment ref="D41" authorId="0" shapeId="0" xr:uid="{332875BA-5112-4A53-B654-14293EF59F01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$912 (6% increase over 2018)
12/01/20: $958</t>
        </r>
      </text>
    </comment>
    <comment ref="E41" authorId="0" shapeId="0" xr:uid="{18ECCD19-AC6B-4E78-84AE-82D68CC0780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$864
12/01/19: $912 (6% increase)</t>
        </r>
      </text>
    </comment>
    <comment ref="F41" authorId="0" shapeId="0" xr:uid="{FB4DA850-4E81-4083-92D2-680FC8A5B5C7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$806
12/01/18: $864</t>
        </r>
      </text>
    </comment>
    <comment ref="G41" authorId="0" shapeId="0" xr:uid="{A4BA10E0-32D1-48FD-9F4D-3D049ECB322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12/01/16: $768 
12/01/17: $806</t>
        </r>
      </text>
    </comment>
    <comment ref="B42" authorId="0" shapeId="0" xr:uid="{33E459C0-BD32-4774-926F-A5E982D3B9D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12/01/21: $81.22 (27% decrease vs. 2020)
12/01/22: $</t>
        </r>
      </text>
    </comment>
    <comment ref="C42" authorId="0" shapeId="0" xr:uid="{8ADBA608-B8C7-4A7D-9406-D5255DA2F77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12/01/20: $111.00 (same as 2019)
12/01/21: $</t>
        </r>
      </text>
    </comment>
    <comment ref="D42" authorId="0" shapeId="0" xr:uid="{4DED73D3-E5A8-464D-BDDC-89CC72B0F8FF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12/01/19: $111.00 (same as 2018)
12/01/20: $111.00</t>
        </r>
      </text>
    </comment>
    <comment ref="E42" authorId="0" shapeId="0" xr:uid="{30475BFB-2394-4124-8D8C-157FAF3175E2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
12/01/18: $111.00
12/01/19: $111.00 (no change)</t>
        </r>
      </text>
    </comment>
    <comment ref="F42" authorId="0" shapeId="0" xr:uid="{671634B3-0E50-4830-B6C0-3B27D101BF26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12/01/17: $111.02</t>
        </r>
      </text>
    </comment>
    <comment ref="G42" authorId="0" shapeId="0" xr:uid="{631ABA5D-E3B3-4E9B-9AEC-843E04A540B2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 12/01/16: $111.00</t>
        </r>
      </text>
    </comment>
    <comment ref="B43" authorId="0" shapeId="0" xr:uid="{48DF628C-49F0-4C67-B15C-87C9267EB8D8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C43" authorId="0" shapeId="0" xr:uid="{929C8551-24D6-4623-96DF-F231679762BC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D43" authorId="0" shapeId="0" xr:uid="{1E58A0DE-D0EC-4EE2-B400-EC1777352F8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E43" authorId="0" shapeId="0" xr:uid="{FA15B931-6443-4B13-867A-82250B4F7E3E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Plan no longer offered</t>
        </r>
      </text>
    </comment>
    <comment ref="F43" authorId="0" shapeId="0" xr:uid="{33CFD7DD-5919-4851-85A8-B60C1139AFD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
12/01/17: $579</t>
        </r>
      </text>
    </comment>
    <comment ref="G43" authorId="0" shapeId="0" xr:uid="{B354F8E5-946D-41B9-9775-3C0E5B473E8A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12/01/17: $579
12/01/16: $552</t>
        </r>
      </text>
    </comment>
    <comment ref="B44" authorId="0" shapeId="0" xr:uid="{AF7D2A2F-9428-4950-9A87-67D999AB7DF5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12/01/21: $458 (4.57% increase over 2020)
12/01/22: $</t>
        </r>
      </text>
    </comment>
    <comment ref="C44" authorId="0" shapeId="0" xr:uid="{71F10B21-6199-4C2F-AA8A-20C737A90013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12/01/20: $438 (5.04% increase over 2019)
12/01/21: $</t>
        </r>
      </text>
    </comment>
    <comment ref="D44" authorId="0" shapeId="0" xr:uid="{7F29CBE9-CC79-4B24-B628-52022D83B10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12/01/19: $417 (6% increase over 2018)
12/01/20: $438 (5.04% increase over 2019</t>
        </r>
      </text>
    </comment>
    <comment ref="E44" authorId="0" shapeId="0" xr:uid="{B6A89AC8-3912-473B-B3B3-3210255A917B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Monthly premium as of: 
12/01/18: $395
12/01/19: $417 (6% increase)
</t>
        </r>
      </text>
    </comment>
    <comment ref="B48" authorId="0" shapeId="0" xr:uid="{FD3CB9FA-B41F-40FE-AF48-ED3104AC3534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C48" authorId="0" shapeId="0" xr:uid="{D4EB6067-0137-4F59-BEB2-95DFC9E00350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D48" authorId="0" shapeId="0" xr:uid="{527E80C5-DAC3-4E7D-9EE9-40C6FD06F779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  <comment ref="E48" authorId="0" shapeId="0" xr:uid="{2CACF648-ED71-492D-82F9-60D9D9BD4300}">
      <text>
        <r>
          <rPr>
            <b/>
            <sz val="8"/>
            <color indexed="81"/>
            <rFont val="Tahoma"/>
            <family val="2"/>
          </rPr>
          <t>Dennis O'Hearn:</t>
        </r>
        <r>
          <rPr>
            <sz val="8"/>
            <color indexed="81"/>
            <rFont val="Tahoma"/>
            <family val="2"/>
          </rPr>
          <t xml:space="preserve">
Rate decreased 1/01/20 to $1.43/$1,000 ($0.119/month)
[College changed companies from UNUM to Standard]</t>
        </r>
      </text>
    </comment>
  </commentList>
</comments>
</file>

<file path=xl/sharedStrings.xml><?xml version="1.0" encoding="utf-8"?>
<sst xmlns="http://schemas.openxmlformats.org/spreadsheetml/2006/main" count="142" uniqueCount="59">
  <si>
    <t>Salary and Benefits Calculator</t>
  </si>
  <si>
    <t>**Enter salary amount on appropriate line and worksheet will calculate related benefits.</t>
  </si>
  <si>
    <t>For Full-Time Employees (I.E. GLC's 510,511,512,520,530,540)</t>
  </si>
  <si>
    <t>Salary</t>
  </si>
  <si>
    <t>FICA/MED</t>
  </si>
  <si>
    <t>Retirement</t>
  </si>
  <si>
    <t>Health</t>
  </si>
  <si>
    <t>Life</t>
  </si>
  <si>
    <t>Total Benefits</t>
  </si>
  <si>
    <t>Total Salary &amp; Benefits</t>
  </si>
  <si>
    <t>For Employees GLC's 521,522,531,541</t>
  </si>
  <si>
    <t>For Part-time Employees GLC's 560,561</t>
  </si>
  <si>
    <t>For Part-time Employees GLC's 565,570</t>
  </si>
  <si>
    <t>FICA/Medicare</t>
  </si>
  <si>
    <t>Retirement Regular Class</t>
  </si>
  <si>
    <t>Health Plan</t>
  </si>
  <si>
    <t>using PPO Plan, not HMO</t>
  </si>
  <si>
    <t>2016-17</t>
  </si>
  <si>
    <t>2015-16</t>
  </si>
  <si>
    <t>F-Regular</t>
  </si>
  <si>
    <t xml:space="preserve">P-Optional </t>
  </si>
  <si>
    <t>D-Drop</t>
  </si>
  <si>
    <t>M-SR Mgt</t>
  </si>
  <si>
    <t>R-Special Risk</t>
  </si>
  <si>
    <t>N-Optional Adm</t>
  </si>
  <si>
    <t>U-Return to FRS</t>
  </si>
  <si>
    <t>A-PPO</t>
  </si>
  <si>
    <t>B-HMO</t>
  </si>
  <si>
    <t>C-Opt out</t>
  </si>
  <si>
    <t>D-HRA</t>
  </si>
  <si>
    <t>FRS</t>
  </si>
  <si>
    <t xml:space="preserve">Health </t>
  </si>
  <si>
    <t>2017-18</t>
  </si>
  <si>
    <t>Health Calculation Estimate:</t>
  </si>
  <si>
    <t>[$683 (current monthly premium) * 5 months (Jul-Nov)]</t>
  </si>
  <si>
    <t>2018-19</t>
  </si>
  <si>
    <t>[($683 *1.07) * 7 months (Dec-Jun)]</t>
  </si>
  <si>
    <t>2019-20</t>
  </si>
  <si>
    <t>2020-21</t>
  </si>
  <si>
    <t>FY 2021-2022</t>
  </si>
  <si>
    <t>(Full-time: Technical/Professional, Instructional, Career Service)</t>
  </si>
  <si>
    <t>(Faculty Overloads, Faculty NIUs, Faculty Substitutes, Staff Supplements)</t>
  </si>
  <si>
    <t>(Part-time Faculty (Adjuncts))</t>
  </si>
  <si>
    <t>(Part-time: Technical/Professional, Career Service)</t>
  </si>
  <si>
    <t>FICA/MED
(7.65%)</t>
  </si>
  <si>
    <t>2021-22</t>
  </si>
  <si>
    <t>PPO Health Plan Calculation:</t>
  </si>
  <si>
    <t>Assumes 5% increase</t>
  </si>
  <si>
    <t>Actual - Dec '19 (6% increase)</t>
  </si>
  <si>
    <t>A-PPO (3766)</t>
  </si>
  <si>
    <t>E-HSA (PPO)</t>
  </si>
  <si>
    <t>Life Premiums</t>
  </si>
  <si>
    <t>Rate/$1,000</t>
  </si>
  <si>
    <t>Note: This calculator is primarily for Fund 1 budget projections.  For Grant budgets (Fund 2), please contact our Restricted Funds Manager, Dennis O'Hearn.</t>
  </si>
  <si>
    <t>FY 2022-23</t>
  </si>
  <si>
    <t>[$792 (current monthly premium) * 5 months (Jul-Nov)]</t>
  </si>
  <si>
    <r>
      <t>[($792 *1.05) * 7 months (Dec-Jun)]</t>
    </r>
    <r>
      <rPr>
        <i/>
        <sz val="10"/>
        <color rgb="FF0000FF"/>
        <rFont val="Calibri"/>
        <family val="2"/>
        <scheme val="minor"/>
      </rPr>
      <t xml:space="preserve"> (assumes a 5% increase over FY22)</t>
    </r>
  </si>
  <si>
    <t>2022-23</t>
  </si>
  <si>
    <t>Medicare Only (Adjuncts)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</si>
</sst>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i/>
      <sz val="11"/>
      <color rgb="FF0000FF"/>
      <name val="Times New Roman"/>
      <family val="1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color theme="1"/>
      <name val="Calibri"/>
      <family val="2"/>
      <scheme val="minor"/>
    </font>
    <font>
      <b/>
      <i/>
      <sz val="10"/>
      <color rgb="FF0000FF"/>
      <name val="Arial"/>
      <family val="2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6" xfId="2" applyNumberFormat="1" applyFont="1" applyBorder="1" applyProtection="1">
      <protection locked="0"/>
    </xf>
    <xf numFmtId="164" fontId="7" fillId="0" borderId="7" xfId="2" applyNumberFormat="1" applyFont="1" applyBorder="1"/>
    <xf numFmtId="164" fontId="7" fillId="0" borderId="7" xfId="2" applyNumberFormat="1" applyFont="1" applyFill="1" applyBorder="1" applyProtection="1">
      <protection locked="0"/>
    </xf>
    <xf numFmtId="164" fontId="8" fillId="0" borderId="8" xfId="2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44" fontId="0" fillId="0" borderId="0" xfId="0" applyNumberFormat="1" applyBorder="1"/>
    <xf numFmtId="10" fontId="0" fillId="0" borderId="0" xfId="0" applyNumberFormat="1"/>
    <xf numFmtId="164" fontId="0" fillId="0" borderId="0" xfId="2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2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0" fontId="0" fillId="0" borderId="16" xfId="0" applyBorder="1"/>
    <xf numFmtId="0" fontId="0" fillId="0" borderId="17" xfId="0" applyBorder="1"/>
    <xf numFmtId="10" fontId="0" fillId="0" borderId="0" xfId="0" applyNumberFormat="1" applyAlignment="1">
      <alignment horizontal="center"/>
    </xf>
    <xf numFmtId="10" fontId="0" fillId="0" borderId="0" xfId="3" applyNumberFormat="1" applyFont="1" applyBorder="1"/>
    <xf numFmtId="10" fontId="0" fillId="0" borderId="7" xfId="3" applyNumberFormat="1" applyFont="1" applyBorder="1"/>
    <xf numFmtId="0" fontId="0" fillId="0" borderId="12" xfId="0" applyBorder="1"/>
    <xf numFmtId="10" fontId="0" fillId="0" borderId="13" xfId="3" applyNumberFormat="1" applyFont="1" applyBorder="1"/>
    <xf numFmtId="0" fontId="0" fillId="0" borderId="14" xfId="0" applyBorder="1"/>
    <xf numFmtId="10" fontId="0" fillId="0" borderId="18" xfId="3" applyNumberFormat="1" applyFont="1" applyBorder="1"/>
    <xf numFmtId="0" fontId="0" fillId="0" borderId="12" xfId="0" applyFill="1" applyBorder="1"/>
    <xf numFmtId="164" fontId="0" fillId="0" borderId="0" xfId="2" applyNumberFormat="1" applyFont="1" applyBorder="1"/>
    <xf numFmtId="164" fontId="0" fillId="0" borderId="13" xfId="2" applyNumberFormat="1" applyFont="1" applyBorder="1"/>
    <xf numFmtId="0" fontId="0" fillId="0" borderId="15" xfId="0" applyBorder="1"/>
    <xf numFmtId="164" fontId="0" fillId="0" borderId="16" xfId="2" applyNumberFormat="1" applyFont="1" applyBorder="1"/>
    <xf numFmtId="164" fontId="0" fillId="0" borderId="17" xfId="2" applyNumberFormat="1" applyFont="1" applyBorder="1"/>
    <xf numFmtId="0" fontId="9" fillId="0" borderId="0" xfId="0" applyFont="1" applyAlignment="1">
      <alignment horizontal="right"/>
    </xf>
    <xf numFmtId="164" fontId="10" fillId="0" borderId="15" xfId="2" applyNumberFormat="1" applyFont="1" applyBorder="1"/>
    <xf numFmtId="10" fontId="11" fillId="0" borderId="0" xfId="0" applyNumberFormat="1" applyFont="1"/>
    <xf numFmtId="2" fontId="0" fillId="0" borderId="0" xfId="0" applyNumberFormat="1"/>
    <xf numFmtId="2" fontId="0" fillId="0" borderId="0" xfId="2" applyNumberFormat="1" applyFont="1" applyFill="1" applyBorder="1"/>
    <xf numFmtId="0" fontId="0" fillId="0" borderId="7" xfId="0" applyBorder="1"/>
    <xf numFmtId="0" fontId="12" fillId="0" borderId="0" xfId="0" applyFont="1"/>
    <xf numFmtId="0" fontId="13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0" fontId="1" fillId="0" borderId="0" xfId="3" applyNumberFormat="1" applyFont="1" applyFill="1" applyBorder="1"/>
    <xf numFmtId="0" fontId="15" fillId="0" borderId="9" xfId="0" applyFont="1" applyBorder="1"/>
    <xf numFmtId="0" fontId="15" fillId="0" borderId="10" xfId="0" applyFont="1" applyBorder="1" applyAlignment="1">
      <alignment horizontal="right"/>
    </xf>
    <xf numFmtId="10" fontId="1" fillId="0" borderId="0" xfId="3" applyNumberFormat="1" applyFont="1" applyBorder="1"/>
    <xf numFmtId="10" fontId="1" fillId="0" borderId="13" xfId="3" applyNumberFormat="1" applyFont="1" applyBorder="1"/>
    <xf numFmtId="0" fontId="15" fillId="0" borderId="11" xfId="0" applyFont="1" applyBorder="1" applyAlignment="1">
      <alignment horizontal="right"/>
    </xf>
    <xf numFmtId="0" fontId="1" fillId="0" borderId="9" xfId="4" applyBorder="1"/>
    <xf numFmtId="164" fontId="1" fillId="0" borderId="0" xfId="2" applyNumberFormat="1" applyFont="1" applyFill="1" applyBorder="1"/>
    <xf numFmtId="0" fontId="1" fillId="0" borderId="12" xfId="0" applyFont="1" applyBorder="1"/>
    <xf numFmtId="164" fontId="1" fillId="0" borderId="0" xfId="2" applyNumberFormat="1" applyFont="1" applyBorder="1"/>
    <xf numFmtId="0" fontId="1" fillId="0" borderId="15" xfId="0" applyFont="1" applyBorder="1"/>
    <xf numFmtId="164" fontId="1" fillId="0" borderId="16" xfId="2" applyNumberFormat="1" applyFont="1" applyFill="1" applyBorder="1"/>
    <xf numFmtId="164" fontId="1" fillId="0" borderId="16" xfId="2" applyNumberFormat="1" applyFont="1" applyBorder="1"/>
    <xf numFmtId="164" fontId="1" fillId="0" borderId="13" xfId="2" applyNumberFormat="1" applyFont="1" applyBorder="1"/>
    <xf numFmtId="41" fontId="1" fillId="0" borderId="16" xfId="2" quotePrefix="1" applyNumberFormat="1" applyFont="1" applyBorder="1"/>
    <xf numFmtId="41" fontId="1" fillId="0" borderId="17" xfId="2" quotePrefix="1" applyNumberFormat="1" applyFont="1" applyBorder="1"/>
    <xf numFmtId="0" fontId="20" fillId="0" borderId="10" xfId="4" applyFont="1" applyBorder="1" applyAlignment="1">
      <alignment horizontal="center"/>
    </xf>
    <xf numFmtId="0" fontId="1" fillId="0" borderId="12" xfId="4" applyBorder="1"/>
    <xf numFmtId="0" fontId="1" fillId="0" borderId="15" xfId="4" applyBorder="1"/>
    <xf numFmtId="0" fontId="1" fillId="0" borderId="16" xfId="4" applyBorder="1"/>
    <xf numFmtId="0" fontId="20" fillId="0" borderId="11" xfId="4" applyFont="1" applyBorder="1" applyAlignment="1">
      <alignment horizontal="center"/>
    </xf>
    <xf numFmtId="44" fontId="1" fillId="0" borderId="13" xfId="4" applyNumberFormat="1" applyBorder="1"/>
    <xf numFmtId="0" fontId="1" fillId="0" borderId="17" xfId="4" applyBorder="1"/>
    <xf numFmtId="0" fontId="21" fillId="0" borderId="4" xfId="0" applyFont="1" applyBorder="1"/>
    <xf numFmtId="10" fontId="1" fillId="0" borderId="0" xfId="4" applyNumberFormat="1"/>
    <xf numFmtId="10" fontId="1" fillId="0" borderId="16" xfId="3" applyNumberFormat="1" applyFont="1" applyFill="1" applyBorder="1"/>
    <xf numFmtId="10" fontId="1" fillId="0" borderId="16" xfId="3" applyNumberFormat="1" applyFont="1" applyBorder="1"/>
    <xf numFmtId="10" fontId="1" fillId="0" borderId="17" xfId="3" applyNumberFormat="1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0" fontId="1" fillId="0" borderId="10" xfId="4" applyNumberFormat="1" applyBorder="1"/>
    <xf numFmtId="10" fontId="1" fillId="0" borderId="11" xfId="4" applyNumberFormat="1" applyBorder="1"/>
    <xf numFmtId="0" fontId="23" fillId="0" borderId="15" xfId="4" applyFont="1" applyBorder="1" applyAlignment="1">
      <alignment wrapText="1"/>
    </xf>
    <xf numFmtId="44" fontId="1" fillId="0" borderId="0" xfId="4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2" fillId="2" borderId="19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3" xfId="4" xr:uid="{2237B9EA-F3AC-4986-ADBC-41121CCB0B01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DE28F-DD21-43C1-9E79-53E602094178}">
  <dimension ref="A1:L44"/>
  <sheetViews>
    <sheetView workbookViewId="0">
      <selection activeCell="A3" sqref="A3"/>
    </sheetView>
  </sheetViews>
  <sheetFormatPr defaultColWidth="8.85546875" defaultRowHeight="15" x14ac:dyDescent="0.25"/>
  <cols>
    <col min="1" max="1" width="15.42578125" customWidth="1"/>
    <col min="2" max="2" width="12.7109375" customWidth="1"/>
    <col min="3" max="3" width="13" customWidth="1"/>
    <col min="4" max="4" width="11.140625" customWidth="1"/>
    <col min="5" max="5" width="8.7109375" bestFit="1" customWidth="1"/>
    <col min="6" max="6" width="12.85546875" customWidth="1"/>
    <col min="7" max="7" width="20.28515625" customWidth="1"/>
    <col min="8" max="8" width="16.42578125" customWidth="1"/>
    <col min="9" max="9" width="19.42578125" customWidth="1"/>
  </cols>
  <sheetData>
    <row r="1" spans="1:7" ht="20.25" x14ac:dyDescent="0.3">
      <c r="A1" s="89" t="s">
        <v>0</v>
      </c>
      <c r="B1" s="90"/>
      <c r="C1" s="90"/>
      <c r="D1" s="90"/>
      <c r="E1" s="90"/>
      <c r="F1" s="90"/>
      <c r="G1" s="91"/>
    </row>
    <row r="2" spans="1:7" ht="20.25" x14ac:dyDescent="0.3">
      <c r="A2" s="92" t="s">
        <v>39</v>
      </c>
      <c r="B2" s="93"/>
      <c r="C2" s="93"/>
      <c r="D2" s="93"/>
      <c r="E2" s="93"/>
      <c r="F2" s="93"/>
      <c r="G2" s="94"/>
    </row>
    <row r="3" spans="1:7" ht="20.25" x14ac:dyDescent="0.3">
      <c r="A3" s="1"/>
      <c r="B3" s="2"/>
      <c r="C3" s="2"/>
      <c r="D3" s="2"/>
      <c r="E3" s="2"/>
      <c r="F3" s="2"/>
      <c r="G3" s="3"/>
    </row>
    <row r="4" spans="1:7" x14ac:dyDescent="0.25">
      <c r="A4" s="4" t="s">
        <v>1</v>
      </c>
      <c r="B4" s="2"/>
      <c r="C4" s="2"/>
      <c r="D4" s="2"/>
      <c r="E4" s="2"/>
      <c r="F4" s="2"/>
      <c r="G4" s="3"/>
    </row>
    <row r="5" spans="1:7" x14ac:dyDescent="0.25">
      <c r="A5" s="4"/>
      <c r="B5" s="2"/>
      <c r="C5" s="2"/>
      <c r="D5" s="2"/>
      <c r="E5" s="2"/>
      <c r="F5" s="2"/>
      <c r="G5" s="3"/>
    </row>
    <row r="6" spans="1:7" ht="18.75" x14ac:dyDescent="0.3">
      <c r="A6" s="5" t="s">
        <v>2</v>
      </c>
      <c r="B6" s="6"/>
      <c r="C6" s="6"/>
      <c r="D6" s="6"/>
      <c r="E6" s="6"/>
      <c r="F6" s="6"/>
      <c r="G6" s="7"/>
    </row>
    <row r="7" spans="1:7" s="11" customFormat="1" ht="33.75" customHeight="1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</row>
    <row r="8" spans="1:7" ht="26.25" customHeight="1" x14ac:dyDescent="0.25">
      <c r="A8" s="12">
        <v>35000</v>
      </c>
      <c r="B8" s="13">
        <f>ROUNDUP($A$8*C22,0)</f>
        <v>2678</v>
      </c>
      <c r="C8" s="13">
        <f>ROUNDUP($A$8*C23,0)</f>
        <v>3500</v>
      </c>
      <c r="D8" s="14">
        <f>A29</f>
        <v>8530.67</v>
      </c>
      <c r="E8" s="13">
        <f>ROUNDUP((ROUNDUP(A8,-3)*1.5)/1000*2.16,0)</f>
        <v>114</v>
      </c>
      <c r="F8" s="13">
        <f>B8+C8+D8+E8</f>
        <v>14822.67</v>
      </c>
      <c r="G8" s="15">
        <f>A8+F8</f>
        <v>49822.67</v>
      </c>
    </row>
    <row r="9" spans="1:7" ht="18.75" x14ac:dyDescent="0.3">
      <c r="A9" s="5" t="s">
        <v>10</v>
      </c>
      <c r="B9" s="6"/>
      <c r="C9" s="6"/>
      <c r="D9" s="6"/>
      <c r="E9" s="6"/>
      <c r="F9" s="6"/>
      <c r="G9" s="16"/>
    </row>
    <row r="10" spans="1:7" s="11" customFormat="1" ht="31.5" x14ac:dyDescent="0.25">
      <c r="A10" s="8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9</v>
      </c>
    </row>
    <row r="11" spans="1:7" ht="28.5" customHeight="1" x14ac:dyDescent="0.25">
      <c r="A11" s="12"/>
      <c r="B11" s="13">
        <f>ROUNDUP($A$11*C22,0)</f>
        <v>0</v>
      </c>
      <c r="C11" s="13">
        <f>ROUNDUP($A$11*C23,0)</f>
        <v>0</v>
      </c>
      <c r="D11" s="13">
        <v>0</v>
      </c>
      <c r="E11" s="13">
        <v>0</v>
      </c>
      <c r="F11" s="13">
        <f>B11+C11+D11+E11</f>
        <v>0</v>
      </c>
      <c r="G11" s="15">
        <f>A11+F11</f>
        <v>0</v>
      </c>
    </row>
    <row r="12" spans="1:7" x14ac:dyDescent="0.25">
      <c r="A12" s="17"/>
      <c r="B12" s="18"/>
      <c r="C12" s="18"/>
      <c r="D12" s="18"/>
      <c r="E12" s="18"/>
      <c r="F12" s="18"/>
      <c r="G12" s="3"/>
    </row>
    <row r="13" spans="1:7" ht="18.75" x14ac:dyDescent="0.3">
      <c r="A13" s="5" t="s">
        <v>11</v>
      </c>
      <c r="B13" s="6"/>
      <c r="C13" s="6"/>
      <c r="D13" s="6"/>
      <c r="E13" s="6"/>
      <c r="F13" s="6"/>
      <c r="G13" s="7"/>
    </row>
    <row r="14" spans="1:7" s="11" customFormat="1" ht="31.5" x14ac:dyDescent="0.25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>
        <v>0</v>
      </c>
      <c r="F15" s="13">
        <f>B15+C15+D15+E15</f>
        <v>0</v>
      </c>
      <c r="G15" s="15">
        <f>A15+F15</f>
        <v>0</v>
      </c>
    </row>
    <row r="16" spans="1:7" x14ac:dyDescent="0.25">
      <c r="A16" s="17"/>
      <c r="B16" s="2"/>
      <c r="C16" s="2"/>
      <c r="D16" s="2"/>
      <c r="E16" s="2"/>
      <c r="F16" s="2"/>
      <c r="G16" s="3"/>
    </row>
    <row r="17" spans="1:9" ht="18.75" x14ac:dyDescent="0.3">
      <c r="A17" s="5" t="s">
        <v>12</v>
      </c>
      <c r="B17" s="6"/>
      <c r="C17" s="6"/>
      <c r="D17" s="6"/>
      <c r="E17" s="6"/>
      <c r="F17" s="6"/>
      <c r="G17" s="7"/>
    </row>
    <row r="18" spans="1:9" s="11" customFormat="1" ht="31.5" x14ac:dyDescent="0.25">
      <c r="A18" s="8" t="s">
        <v>3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10" t="s">
        <v>9</v>
      </c>
    </row>
    <row r="19" spans="1:9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>
        <v>0</v>
      </c>
      <c r="F19" s="13">
        <f>B19+C19+D19+E19</f>
        <v>0</v>
      </c>
      <c r="G19" s="15">
        <f>A19+F19</f>
        <v>0</v>
      </c>
    </row>
    <row r="22" spans="1:9" x14ac:dyDescent="0.25">
      <c r="A22" t="s">
        <v>13</v>
      </c>
      <c r="B22" s="19"/>
      <c r="C22" s="19">
        <v>7.6499999999999999E-2</v>
      </c>
    </row>
    <row r="23" spans="1:9" x14ac:dyDescent="0.25">
      <c r="A23" t="s">
        <v>14</v>
      </c>
      <c r="C23" s="44">
        <v>0.1</v>
      </c>
      <c r="D23" s="42"/>
      <c r="G23" s="29"/>
    </row>
    <row r="24" spans="1:9" x14ac:dyDescent="0.25">
      <c r="A24" t="s">
        <v>15</v>
      </c>
      <c r="C24" s="20">
        <f>A29</f>
        <v>8530.67</v>
      </c>
      <c r="D24" t="s">
        <v>16</v>
      </c>
    </row>
    <row r="25" spans="1:9" ht="15.75" thickBot="1" x14ac:dyDescent="0.3"/>
    <row r="26" spans="1:9" x14ac:dyDescent="0.25">
      <c r="A26" s="21" t="s">
        <v>33</v>
      </c>
      <c r="B26" s="22"/>
      <c r="C26" s="22"/>
      <c r="D26" s="22"/>
      <c r="E26" s="22"/>
      <c r="F26" s="22"/>
      <c r="G26" s="23"/>
    </row>
    <row r="27" spans="1:9" x14ac:dyDescent="0.25">
      <c r="A27" s="24">
        <f>683*5</f>
        <v>3415</v>
      </c>
      <c r="B27" s="2" t="s">
        <v>34</v>
      </c>
      <c r="C27" s="2"/>
      <c r="D27" s="2"/>
      <c r="E27" s="2"/>
      <c r="F27" s="2"/>
      <c r="G27" s="25"/>
      <c r="H27">
        <f>197.5*2</f>
        <v>395</v>
      </c>
      <c r="I27">
        <f>H27*5</f>
        <v>1975</v>
      </c>
    </row>
    <row r="28" spans="1:9" x14ac:dyDescent="0.25">
      <c r="A28" s="26">
        <f>(683*1.07)*7</f>
        <v>5115.67</v>
      </c>
      <c r="B28" s="2" t="s">
        <v>36</v>
      </c>
      <c r="C28" s="2"/>
      <c r="D28" s="2"/>
      <c r="E28" s="2"/>
      <c r="F28" s="2"/>
      <c r="G28" s="25"/>
      <c r="H28">
        <f>H27*1.07</f>
        <v>422.65000000000003</v>
      </c>
      <c r="I28">
        <f>H28*7</f>
        <v>2958.55</v>
      </c>
    </row>
    <row r="29" spans="1:9" ht="15.75" thickBot="1" x14ac:dyDescent="0.3">
      <c r="A29" s="43">
        <f>SUM(A27:A28)</f>
        <v>8530.67</v>
      </c>
      <c r="B29" s="27"/>
      <c r="C29" s="27"/>
      <c r="D29" s="27"/>
      <c r="E29" s="27"/>
      <c r="F29" s="27"/>
      <c r="G29" s="28"/>
    </row>
    <row r="30" spans="1:9" ht="15.75" thickBot="1" x14ac:dyDescent="0.3"/>
    <row r="31" spans="1:9" x14ac:dyDescent="0.25">
      <c r="A31" s="21" t="s">
        <v>30</v>
      </c>
      <c r="B31" s="22" t="s">
        <v>38</v>
      </c>
      <c r="C31" s="22" t="s">
        <v>37</v>
      </c>
      <c r="D31" s="22" t="s">
        <v>35</v>
      </c>
      <c r="E31" s="22" t="s">
        <v>32</v>
      </c>
      <c r="F31" s="22" t="s">
        <v>17</v>
      </c>
      <c r="G31" s="23" t="s">
        <v>18</v>
      </c>
    </row>
    <row r="32" spans="1:9" x14ac:dyDescent="0.25">
      <c r="A32" s="32" t="s">
        <v>19</v>
      </c>
      <c r="B32" s="2"/>
      <c r="C32" s="2"/>
      <c r="D32" s="30">
        <v>8.2600000000000007E-2</v>
      </c>
      <c r="E32" s="30">
        <v>7.9200000000000007E-2</v>
      </c>
      <c r="F32" s="30">
        <v>7.5200000000000003E-2</v>
      </c>
      <c r="G32" s="33">
        <v>7.2599999999999998E-2</v>
      </c>
    </row>
    <row r="33" spans="1:12" x14ac:dyDescent="0.25">
      <c r="A33" s="32" t="s">
        <v>20</v>
      </c>
      <c r="B33" s="2"/>
      <c r="C33" s="2"/>
      <c r="D33" s="30">
        <v>8.6499999999999994E-2</v>
      </c>
      <c r="E33" s="30">
        <v>7.9799999999999996E-2</v>
      </c>
      <c r="F33" s="30">
        <v>7.9799999999999996E-2</v>
      </c>
      <c r="G33" s="33">
        <v>7.8E-2</v>
      </c>
    </row>
    <row r="34" spans="1:12" x14ac:dyDescent="0.25">
      <c r="A34" s="32" t="s">
        <v>25</v>
      </c>
      <c r="B34" s="2"/>
      <c r="C34" s="2"/>
      <c r="D34" s="30">
        <v>5.16E-2</v>
      </c>
      <c r="E34" s="30">
        <v>4.9599999999999998E-2</v>
      </c>
      <c r="F34" s="30">
        <v>4.4900000000000002E-2</v>
      </c>
      <c r="G34" s="33">
        <v>4.3099999999999999E-2</v>
      </c>
    </row>
    <row r="35" spans="1:12" x14ac:dyDescent="0.25">
      <c r="A35" s="32" t="s">
        <v>21</v>
      </c>
      <c r="B35" s="2"/>
      <c r="C35" s="2"/>
      <c r="D35" s="30">
        <v>0.14030000000000001</v>
      </c>
      <c r="E35" s="30">
        <v>0.1326</v>
      </c>
      <c r="F35" s="30">
        <v>0.12989999999999999</v>
      </c>
      <c r="G35" s="33">
        <v>0.1288</v>
      </c>
    </row>
    <row r="36" spans="1:12" x14ac:dyDescent="0.25">
      <c r="A36" s="32" t="s">
        <v>22</v>
      </c>
      <c r="B36" s="2"/>
      <c r="C36" s="2"/>
      <c r="D36" s="30">
        <v>0.24060000000000001</v>
      </c>
      <c r="E36" s="30">
        <v>0.2271</v>
      </c>
      <c r="F36" s="30">
        <v>0.2177</v>
      </c>
      <c r="G36" s="33">
        <v>0.2114</v>
      </c>
    </row>
    <row r="37" spans="1:12" x14ac:dyDescent="0.25">
      <c r="A37" s="32" t="s">
        <v>23</v>
      </c>
      <c r="B37" s="2"/>
      <c r="C37" s="2"/>
      <c r="D37" s="30">
        <v>0.245</v>
      </c>
      <c r="E37" s="30">
        <v>0.23269999999999999</v>
      </c>
      <c r="F37" s="30">
        <v>0.22570000000000001</v>
      </c>
      <c r="G37" s="33">
        <v>0.22040000000000001</v>
      </c>
    </row>
    <row r="38" spans="1:12" x14ac:dyDescent="0.25">
      <c r="A38" s="34" t="s">
        <v>24</v>
      </c>
      <c r="B38" s="47"/>
      <c r="C38" s="47"/>
      <c r="D38" s="31">
        <v>9.6500000000000002E-2</v>
      </c>
      <c r="E38" s="31">
        <v>9.6500000000000002E-2</v>
      </c>
      <c r="F38" s="31">
        <v>9.6500000000000002E-2</v>
      </c>
      <c r="G38" s="35">
        <v>9.6500000000000002E-2</v>
      </c>
    </row>
    <row r="39" spans="1:12" x14ac:dyDescent="0.25">
      <c r="A39" s="36" t="s">
        <v>31</v>
      </c>
      <c r="B39" s="2"/>
      <c r="C39" s="2"/>
      <c r="D39" s="2"/>
      <c r="G39" s="25"/>
    </row>
    <row r="40" spans="1:12" x14ac:dyDescent="0.25">
      <c r="A40" s="32" t="s">
        <v>26</v>
      </c>
      <c r="B40" s="2"/>
      <c r="C40" s="2"/>
      <c r="D40" s="37">
        <v>7966</v>
      </c>
      <c r="E40" s="37">
        <v>7497</v>
      </c>
      <c r="F40" s="37">
        <f>607*12</f>
        <v>7284</v>
      </c>
      <c r="G40" s="38">
        <v>6541</v>
      </c>
      <c r="H40" s="45"/>
      <c r="J40" s="45"/>
      <c r="L40" s="45"/>
    </row>
    <row r="41" spans="1:12" x14ac:dyDescent="0.25">
      <c r="A41" s="32" t="s">
        <v>27</v>
      </c>
      <c r="B41" s="2"/>
      <c r="C41" s="2"/>
      <c r="D41" s="37">
        <v>10078</v>
      </c>
      <c r="E41" s="37">
        <v>9485</v>
      </c>
      <c r="F41" s="37">
        <v>9216</v>
      </c>
      <c r="G41" s="38">
        <v>7363</v>
      </c>
      <c r="H41" s="46"/>
      <c r="J41" s="45"/>
      <c r="L41" s="45"/>
    </row>
    <row r="42" spans="1:12" x14ac:dyDescent="0.25">
      <c r="A42" s="32" t="s">
        <v>28</v>
      </c>
      <c r="B42" s="2"/>
      <c r="C42" s="2"/>
      <c r="D42" s="37">
        <v>984</v>
      </c>
      <c r="E42" s="37">
        <v>991</v>
      </c>
      <c r="F42" s="37">
        <v>963</v>
      </c>
      <c r="G42" s="38">
        <v>1332</v>
      </c>
      <c r="H42" s="46"/>
      <c r="J42" s="45"/>
      <c r="L42" s="45"/>
    </row>
    <row r="43" spans="1:12" ht="15.75" thickBot="1" x14ac:dyDescent="0.3">
      <c r="A43" s="39" t="s">
        <v>29</v>
      </c>
      <c r="B43" s="27"/>
      <c r="C43" s="27"/>
      <c r="D43" s="40">
        <f>5660+500</f>
        <v>6160</v>
      </c>
      <c r="E43" s="40">
        <v>6624</v>
      </c>
      <c r="F43" s="40">
        <v>6624</v>
      </c>
      <c r="G43" s="41">
        <v>5617</v>
      </c>
      <c r="H43" s="46"/>
      <c r="J43" s="45"/>
      <c r="L43" s="45"/>
    </row>
    <row r="44" spans="1:12" x14ac:dyDescent="0.25">
      <c r="H44" s="45"/>
    </row>
  </sheetData>
  <mergeCells count="2">
    <mergeCell ref="A1:G1"/>
    <mergeCell ref="A2:G2"/>
  </mergeCells>
  <printOptions horizontalCentered="1"/>
  <pageMargins left="0.2" right="0.2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14.7109375" customWidth="1"/>
    <col min="2" max="2" width="11.7109375" customWidth="1"/>
    <col min="3" max="7" width="12.7109375" customWidth="1"/>
    <col min="8" max="8" width="16.42578125" customWidth="1"/>
    <col min="9" max="9" width="19.42578125" customWidth="1"/>
  </cols>
  <sheetData>
    <row r="1" spans="1:8" ht="20.25" x14ac:dyDescent="0.3">
      <c r="A1" s="89" t="s">
        <v>0</v>
      </c>
      <c r="B1" s="90"/>
      <c r="C1" s="90"/>
      <c r="D1" s="90"/>
      <c r="E1" s="90"/>
      <c r="F1" s="90"/>
      <c r="G1" s="91"/>
    </row>
    <row r="2" spans="1:8" ht="21" thickBot="1" x14ac:dyDescent="0.35">
      <c r="A2" s="92" t="s">
        <v>54</v>
      </c>
      <c r="B2" s="93"/>
      <c r="C2" s="93"/>
      <c r="D2" s="93"/>
      <c r="E2" s="93"/>
      <c r="F2" s="93"/>
      <c r="G2" s="94"/>
    </row>
    <row r="3" spans="1:8" ht="31.5" customHeight="1" thickBot="1" x14ac:dyDescent="0.3">
      <c r="A3" s="95" t="s">
        <v>53</v>
      </c>
      <c r="B3" s="96"/>
      <c r="C3" s="96"/>
      <c r="D3" s="96"/>
      <c r="E3" s="96"/>
      <c r="F3" s="96"/>
      <c r="G3" s="97"/>
    </row>
    <row r="4" spans="1:8" ht="15" customHeight="1" x14ac:dyDescent="0.3">
      <c r="A4" s="1"/>
      <c r="B4" s="2"/>
      <c r="C4" s="2"/>
      <c r="D4" s="2"/>
      <c r="E4" s="2"/>
      <c r="F4" s="2"/>
      <c r="G4" s="3"/>
    </row>
    <row r="5" spans="1:8" ht="15" customHeight="1" x14ac:dyDescent="0.25">
      <c r="A5" s="78" t="s">
        <v>1</v>
      </c>
      <c r="B5" s="2"/>
      <c r="C5" s="2"/>
      <c r="D5" s="2"/>
      <c r="E5" s="2"/>
      <c r="F5" s="2"/>
      <c r="G5" s="3"/>
    </row>
    <row r="6" spans="1:8" ht="15.75" x14ac:dyDescent="0.25">
      <c r="A6" s="49" t="s">
        <v>2</v>
      </c>
      <c r="B6" s="50"/>
      <c r="C6" s="50"/>
      <c r="D6" s="50"/>
      <c r="E6" s="50"/>
      <c r="F6" s="50"/>
      <c r="G6" s="51"/>
      <c r="H6" s="48" t="s">
        <v>40</v>
      </c>
    </row>
    <row r="7" spans="1:8" s="11" customFormat="1" ht="33.75" customHeight="1" x14ac:dyDescent="0.25">
      <c r="A7" s="52" t="s">
        <v>3</v>
      </c>
      <c r="B7" s="53" t="s">
        <v>44</v>
      </c>
      <c r="C7" s="53" t="s">
        <v>5</v>
      </c>
      <c r="D7" s="53" t="s">
        <v>6</v>
      </c>
      <c r="E7" s="53" t="s">
        <v>7</v>
      </c>
      <c r="F7" s="53" t="s">
        <v>8</v>
      </c>
      <c r="G7" s="54" t="s">
        <v>9</v>
      </c>
    </row>
    <row r="8" spans="1:8" ht="26.25" customHeight="1" x14ac:dyDescent="0.25">
      <c r="A8" s="12">
        <v>0</v>
      </c>
      <c r="B8" s="13">
        <f>ROUNDUP($A$8*C22,0)</f>
        <v>0</v>
      </c>
      <c r="C8" s="13">
        <f>ROUNDUP($A$8*B32,0)</f>
        <v>0</v>
      </c>
      <c r="D8" s="14">
        <f>A29</f>
        <v>9781.2000000000007</v>
      </c>
      <c r="E8" s="13">
        <f>ROUNDUP((ROUNDUP(A8,-3)*1.5)/1000*2.16,0)</f>
        <v>0</v>
      </c>
      <c r="F8" s="13">
        <f>B8+C8+D8+E8</f>
        <v>9781.2000000000007</v>
      </c>
      <c r="G8" s="15">
        <f>A8+F8</f>
        <v>9781.2000000000007</v>
      </c>
    </row>
    <row r="9" spans="1:8" ht="15.75" x14ac:dyDescent="0.25">
      <c r="A9" s="49" t="s">
        <v>10</v>
      </c>
      <c r="B9" s="6"/>
      <c r="C9" s="6"/>
      <c r="D9" s="6"/>
      <c r="E9" s="6"/>
      <c r="F9" s="6"/>
      <c r="G9" s="16"/>
      <c r="H9" s="48" t="s">
        <v>41</v>
      </c>
    </row>
    <row r="10" spans="1:8" s="11" customFormat="1" ht="30" x14ac:dyDescent="0.25">
      <c r="A10" s="52" t="s">
        <v>3</v>
      </c>
      <c r="B10" s="53" t="s">
        <v>4</v>
      </c>
      <c r="C10" s="53" t="s">
        <v>5</v>
      </c>
      <c r="D10" s="53" t="s">
        <v>6</v>
      </c>
      <c r="E10" s="53" t="s">
        <v>7</v>
      </c>
      <c r="F10" s="53" t="s">
        <v>8</v>
      </c>
      <c r="G10" s="54" t="s">
        <v>9</v>
      </c>
    </row>
    <row r="11" spans="1:8" ht="28.5" customHeight="1" x14ac:dyDescent="0.25">
      <c r="A11" s="12"/>
      <c r="B11" s="13">
        <f>ROUNDUP($A$11*C22,0)</f>
        <v>0</v>
      </c>
      <c r="C11" s="13">
        <f>ROUNDUP($A$11*B32,0)</f>
        <v>0</v>
      </c>
      <c r="D11" s="13">
        <v>0</v>
      </c>
      <c r="E11" s="13">
        <v>0</v>
      </c>
      <c r="F11" s="13">
        <f>B11+C11+D11+E11</f>
        <v>0</v>
      </c>
      <c r="G11" s="15">
        <f>A11+F11</f>
        <v>0</v>
      </c>
    </row>
    <row r="12" spans="1:8" x14ac:dyDescent="0.25">
      <c r="A12" s="17"/>
      <c r="B12" s="18"/>
      <c r="C12" s="18"/>
      <c r="D12" s="18"/>
      <c r="E12" s="18"/>
      <c r="F12" s="18"/>
      <c r="G12" s="3"/>
    </row>
    <row r="13" spans="1:8" ht="15.75" x14ac:dyDescent="0.25">
      <c r="A13" s="49" t="s">
        <v>11</v>
      </c>
      <c r="B13" s="6"/>
      <c r="C13" s="6"/>
      <c r="D13" s="6"/>
      <c r="E13" s="6"/>
      <c r="F13" s="6"/>
      <c r="G13" s="16"/>
      <c r="H13" s="48" t="s">
        <v>42</v>
      </c>
    </row>
    <row r="14" spans="1:8" s="11" customFormat="1" ht="30" x14ac:dyDescent="0.25">
      <c r="A14" s="52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4" t="s">
        <v>9</v>
      </c>
    </row>
    <row r="15" spans="1:8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>
        <v>0</v>
      </c>
      <c r="F15" s="13">
        <f>B15+C15+D15+E15</f>
        <v>0</v>
      </c>
      <c r="G15" s="15">
        <f>A15+F15</f>
        <v>0</v>
      </c>
    </row>
    <row r="16" spans="1:8" x14ac:dyDescent="0.25">
      <c r="A16" s="17"/>
      <c r="B16" s="2"/>
      <c r="C16" s="2"/>
      <c r="D16" s="2"/>
      <c r="E16" s="2"/>
      <c r="F16" s="2"/>
      <c r="G16" s="3"/>
    </row>
    <row r="17" spans="1:8" ht="15.75" x14ac:dyDescent="0.25">
      <c r="A17" s="49" t="s">
        <v>12</v>
      </c>
      <c r="B17" s="6"/>
      <c r="C17" s="6"/>
      <c r="D17" s="6"/>
      <c r="E17" s="6"/>
      <c r="F17" s="6"/>
      <c r="G17" s="16"/>
      <c r="H17" s="48" t="s">
        <v>43</v>
      </c>
    </row>
    <row r="18" spans="1:8" s="11" customFormat="1" ht="30" x14ac:dyDescent="0.25">
      <c r="A18" s="52" t="s">
        <v>3</v>
      </c>
      <c r="B18" s="53" t="s">
        <v>4</v>
      </c>
      <c r="C18" s="53" t="s">
        <v>5</v>
      </c>
      <c r="D18" s="53" t="s">
        <v>6</v>
      </c>
      <c r="E18" s="53" t="s">
        <v>7</v>
      </c>
      <c r="F18" s="53" t="s">
        <v>8</v>
      </c>
      <c r="G18" s="54" t="s">
        <v>9</v>
      </c>
    </row>
    <row r="19" spans="1:8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>
        <v>0</v>
      </c>
      <c r="F19" s="13">
        <f>B19+C19+D19+E19</f>
        <v>0</v>
      </c>
      <c r="G19" s="15">
        <f>A19+F19</f>
        <v>0</v>
      </c>
    </row>
    <row r="22" spans="1:8" x14ac:dyDescent="0.25">
      <c r="A22" t="s">
        <v>13</v>
      </c>
      <c r="B22" s="19"/>
      <c r="C22" s="19">
        <v>7.6499999999999999E-2</v>
      </c>
    </row>
    <row r="23" spans="1:8" x14ac:dyDescent="0.25">
      <c r="A23" t="s">
        <v>14</v>
      </c>
      <c r="C23" s="44">
        <v>0.1191</v>
      </c>
      <c r="D23" s="42"/>
      <c r="G23" s="29"/>
    </row>
    <row r="24" spans="1:8" x14ac:dyDescent="0.25">
      <c r="A24" t="s">
        <v>15</v>
      </c>
      <c r="C24" s="20">
        <f>A29</f>
        <v>9781.2000000000007</v>
      </c>
      <c r="D24" t="s">
        <v>16</v>
      </c>
    </row>
    <row r="25" spans="1:8" ht="15.75" thickBot="1" x14ac:dyDescent="0.3"/>
    <row r="26" spans="1:8" x14ac:dyDescent="0.25">
      <c r="A26" s="61" t="s">
        <v>46</v>
      </c>
      <c r="B26" s="22"/>
      <c r="C26" s="22"/>
      <c r="D26" s="22"/>
      <c r="E26" s="22"/>
      <c r="F26" s="22"/>
      <c r="G26" s="23"/>
    </row>
    <row r="27" spans="1:8" x14ac:dyDescent="0.25">
      <c r="A27" s="24">
        <f>792*5</f>
        <v>3960</v>
      </c>
      <c r="B27" s="2" t="s">
        <v>55</v>
      </c>
      <c r="C27" s="2"/>
      <c r="D27" s="2"/>
      <c r="E27" s="2"/>
      <c r="F27" s="2"/>
      <c r="G27" s="25"/>
    </row>
    <row r="28" spans="1:8" x14ac:dyDescent="0.25">
      <c r="A28" s="26">
        <f>(792*1.05)*7</f>
        <v>5821.2</v>
      </c>
      <c r="B28" s="2" t="s">
        <v>56</v>
      </c>
      <c r="C28" s="2"/>
      <c r="D28" s="2"/>
      <c r="E28" s="2"/>
      <c r="F28" s="2"/>
      <c r="G28" s="25"/>
    </row>
    <row r="29" spans="1:8" ht="15.75" thickBot="1" x14ac:dyDescent="0.3">
      <c r="A29" s="43">
        <f>SUM(A27:A28)</f>
        <v>9781.2000000000007</v>
      </c>
      <c r="B29" s="27"/>
      <c r="C29" s="27"/>
      <c r="D29" s="27"/>
      <c r="E29" s="27"/>
      <c r="F29" s="27"/>
      <c r="G29" s="28"/>
    </row>
    <row r="31" spans="1:8" x14ac:dyDescent="0.25">
      <c r="A31" s="56" t="s">
        <v>30</v>
      </c>
      <c r="B31" s="57" t="s">
        <v>57</v>
      </c>
      <c r="C31" s="57" t="s">
        <v>45</v>
      </c>
      <c r="D31" s="57" t="s">
        <v>38</v>
      </c>
      <c r="E31" s="57" t="s">
        <v>37</v>
      </c>
      <c r="F31" s="57" t="s">
        <v>35</v>
      </c>
      <c r="G31" s="60" t="s">
        <v>32</v>
      </c>
    </row>
    <row r="32" spans="1:8" x14ac:dyDescent="0.25">
      <c r="A32" s="32" t="s">
        <v>19</v>
      </c>
      <c r="B32" s="55">
        <v>0.1191</v>
      </c>
      <c r="C32" s="55">
        <v>0.1082</v>
      </c>
      <c r="D32" s="55">
        <v>0.1</v>
      </c>
      <c r="E32" s="58">
        <v>8.4699999999999998E-2</v>
      </c>
      <c r="F32" s="58">
        <v>8.2600000000000007E-2</v>
      </c>
      <c r="G32" s="59">
        <v>7.9200000000000007E-2</v>
      </c>
    </row>
    <row r="33" spans="1:12" x14ac:dyDescent="0.25">
      <c r="A33" s="32" t="s">
        <v>20</v>
      </c>
      <c r="B33" s="55">
        <v>9.3799999999999994E-2</v>
      </c>
      <c r="C33" s="55">
        <v>9.3399999999999997E-2</v>
      </c>
      <c r="D33" s="55">
        <v>8.5900000000000004E-2</v>
      </c>
      <c r="E33" s="58">
        <v>8.7099999999999997E-2</v>
      </c>
      <c r="F33" s="58">
        <v>8.6499999999999994E-2</v>
      </c>
      <c r="G33" s="59">
        <v>8.4500000000000006E-2</v>
      </c>
    </row>
    <row r="34" spans="1:12" x14ac:dyDescent="0.25">
      <c r="A34" s="32" t="s">
        <v>25</v>
      </c>
      <c r="B34" s="55">
        <v>5.8900000000000001E-2</v>
      </c>
      <c r="C34" s="55">
        <v>5.8500000000000003E-2</v>
      </c>
      <c r="D34" s="55">
        <v>5.0999999999999997E-2</v>
      </c>
      <c r="E34" s="58">
        <v>5.2200000000000003E-2</v>
      </c>
      <c r="F34" s="58">
        <v>5.16E-2</v>
      </c>
      <c r="G34" s="59">
        <v>4.9599999999999998E-2</v>
      </c>
    </row>
    <row r="35" spans="1:12" x14ac:dyDescent="0.25">
      <c r="A35" s="32" t="s">
        <v>21</v>
      </c>
      <c r="B35" s="55">
        <v>0.186</v>
      </c>
      <c r="C35" s="55">
        <v>0.18340000000000001</v>
      </c>
      <c r="D35" s="55">
        <v>0.16980000000000001</v>
      </c>
      <c r="E35" s="58">
        <v>0.14599999999999999</v>
      </c>
      <c r="F35" s="58">
        <v>0.14030000000000001</v>
      </c>
      <c r="G35" s="59">
        <v>0.1326</v>
      </c>
    </row>
    <row r="36" spans="1:12" x14ac:dyDescent="0.25">
      <c r="A36" s="32" t="s">
        <v>22</v>
      </c>
      <c r="B36" s="55">
        <v>0.31569999999999998</v>
      </c>
      <c r="C36" s="55">
        <v>0.29010000000000002</v>
      </c>
      <c r="D36" s="55">
        <v>0.27289999999999998</v>
      </c>
      <c r="E36" s="58">
        <v>0.25409999999999999</v>
      </c>
      <c r="F36" s="58">
        <v>0.24060000000000001</v>
      </c>
      <c r="G36" s="59">
        <v>0.2271</v>
      </c>
    </row>
    <row r="37" spans="1:12" x14ac:dyDescent="0.25">
      <c r="A37" s="32" t="s">
        <v>23</v>
      </c>
      <c r="B37" s="55">
        <v>0.27829999999999999</v>
      </c>
      <c r="C37" s="55">
        <v>0.25890000000000002</v>
      </c>
      <c r="D37" s="55">
        <v>0.2445</v>
      </c>
      <c r="E37" s="58">
        <v>0.25480000000000003</v>
      </c>
      <c r="F37" s="58">
        <v>0.245</v>
      </c>
      <c r="G37" s="59">
        <v>0.23269999999999999</v>
      </c>
    </row>
    <row r="38" spans="1:12" ht="15.75" thickBot="1" x14ac:dyDescent="0.3">
      <c r="A38" s="39" t="s">
        <v>24</v>
      </c>
      <c r="B38" s="55">
        <v>9.6500000000000002E-2</v>
      </c>
      <c r="C38" s="80">
        <v>9.6500000000000002E-2</v>
      </c>
      <c r="D38" s="80">
        <v>9.6500000000000002E-2</v>
      </c>
      <c r="E38" s="81">
        <v>9.6500000000000002E-2</v>
      </c>
      <c r="F38" s="81">
        <v>9.6500000000000002E-2</v>
      </c>
      <c r="G38" s="82">
        <v>9.6500000000000002E-2</v>
      </c>
    </row>
    <row r="39" spans="1:12" ht="23.25" x14ac:dyDescent="0.25">
      <c r="A39" s="56" t="s">
        <v>31</v>
      </c>
      <c r="B39" s="83" t="s">
        <v>47</v>
      </c>
      <c r="C39" s="83" t="s">
        <v>47</v>
      </c>
      <c r="D39" s="83" t="s">
        <v>47</v>
      </c>
      <c r="E39" s="83" t="s">
        <v>48</v>
      </c>
      <c r="F39" s="83" t="s">
        <v>47</v>
      </c>
      <c r="G39" s="84"/>
    </row>
    <row r="40" spans="1:12" x14ac:dyDescent="0.25">
      <c r="A40" s="63" t="s">
        <v>49</v>
      </c>
      <c r="B40" s="62">
        <f>(792*5)+((792*1.05)*7)</f>
        <v>9781.2000000000007</v>
      </c>
      <c r="C40" s="62">
        <f>(758*5)+((758*1.05)*7)</f>
        <v>9361.2999999999993</v>
      </c>
      <c r="D40" s="62">
        <f>(721*5)+((721*1.07)*7)</f>
        <v>9005.2900000000009</v>
      </c>
      <c r="E40" s="64">
        <f>(683*5)+((721*1)*7)</f>
        <v>8462</v>
      </c>
      <c r="F40" s="64">
        <f>(637*5)+((637*1.05)*7)</f>
        <v>7866.95</v>
      </c>
      <c r="G40" s="68">
        <f>(607*5)+((637*7))</f>
        <v>7494</v>
      </c>
      <c r="H40" s="45"/>
      <c r="J40" s="45"/>
      <c r="L40" s="45"/>
    </row>
    <row r="41" spans="1:12" x14ac:dyDescent="0.25">
      <c r="A41" s="63" t="s">
        <v>27</v>
      </c>
      <c r="B41" s="62">
        <f>(1001*5)+((1001*1.05)*7)</f>
        <v>12362.349999999999</v>
      </c>
      <c r="C41" s="62">
        <f>(958*5)+((958*1.05)*7)</f>
        <v>11831.300000000001</v>
      </c>
      <c r="D41" s="62">
        <f>(912*5)+((912*1.07)*7)</f>
        <v>11390.880000000001</v>
      </c>
      <c r="E41" s="64">
        <f>(864*5)+((864*1.07)*7)</f>
        <v>10791.36</v>
      </c>
      <c r="F41" s="64">
        <f>(806*5)+((806*1.05)*7)</f>
        <v>9954.1</v>
      </c>
      <c r="G41" s="68">
        <f>(768*5)+(806*7)</f>
        <v>9482</v>
      </c>
      <c r="H41" s="46"/>
      <c r="J41" s="45"/>
      <c r="L41" s="45"/>
    </row>
    <row r="42" spans="1:12" x14ac:dyDescent="0.25">
      <c r="A42" s="63" t="s">
        <v>28</v>
      </c>
      <c r="B42" s="62">
        <f>81.22*12</f>
        <v>974.64</v>
      </c>
      <c r="C42" s="62">
        <f>111*12</f>
        <v>1332</v>
      </c>
      <c r="D42" s="62">
        <v>1332</v>
      </c>
      <c r="E42" s="64">
        <v>1332</v>
      </c>
      <c r="F42" s="64">
        <v>1332</v>
      </c>
      <c r="G42" s="68">
        <f>(111.02*12)</f>
        <v>1332.24</v>
      </c>
      <c r="H42" s="46"/>
      <c r="J42" s="45"/>
      <c r="L42" s="45"/>
    </row>
    <row r="43" spans="1:12" x14ac:dyDescent="0.25">
      <c r="A43" s="63" t="s">
        <v>29</v>
      </c>
      <c r="B43" s="62">
        <v>0</v>
      </c>
      <c r="C43" s="62">
        <v>0</v>
      </c>
      <c r="D43" s="62">
        <v>0</v>
      </c>
      <c r="E43" s="64">
        <v>0</v>
      </c>
      <c r="F43" s="64">
        <f>(579*5)+((579*1.05)*7)</f>
        <v>7150.6500000000005</v>
      </c>
      <c r="G43" s="68">
        <f>(552*5)+((552*1.05)*7)</f>
        <v>6817.2000000000007</v>
      </c>
      <c r="H43" s="46"/>
      <c r="J43" s="45"/>
      <c r="L43" s="45"/>
    </row>
    <row r="44" spans="1:12" ht="15.75" thickBot="1" x14ac:dyDescent="0.3">
      <c r="A44" s="65" t="s">
        <v>50</v>
      </c>
      <c r="B44" s="66">
        <f>(458*5)+((458*1.05)*7)</f>
        <v>5656.3</v>
      </c>
      <c r="C44" s="66">
        <f>(438*5)+((438*1.05)*7)</f>
        <v>5409.3</v>
      </c>
      <c r="D44" s="66">
        <f>(417*5)+((417*1.07)*7)</f>
        <v>5208.33</v>
      </c>
      <c r="E44" s="67">
        <f>(395*5)+((395*1.07)*7)</f>
        <v>4933.55</v>
      </c>
      <c r="F44" s="69">
        <v>0</v>
      </c>
      <c r="G44" s="70">
        <v>0</v>
      </c>
      <c r="H44" s="45"/>
    </row>
    <row r="45" spans="1:12" x14ac:dyDescent="0.25">
      <c r="A45" s="61" t="s">
        <v>13</v>
      </c>
      <c r="B45" s="85">
        <v>7.6499999999999999E-2</v>
      </c>
      <c r="C45" s="85">
        <v>7.6499999999999999E-2</v>
      </c>
      <c r="D45" s="85">
        <v>7.6499999999999999E-2</v>
      </c>
      <c r="E45" s="85">
        <v>7.6499999999999999E-2</v>
      </c>
      <c r="F45" s="85">
        <v>7.6499999999999999E-2</v>
      </c>
      <c r="G45" s="86">
        <v>7.6499999999999999E-2</v>
      </c>
      <c r="H45" s="79"/>
      <c r="I45" s="79"/>
    </row>
    <row r="46" spans="1:12" ht="27" thickBot="1" x14ac:dyDescent="0.3">
      <c r="A46" s="87" t="s">
        <v>58</v>
      </c>
      <c r="B46" s="81">
        <v>1.4500000000000001E-2</v>
      </c>
      <c r="C46" s="81">
        <v>1.4500000000000001E-2</v>
      </c>
      <c r="D46" s="81">
        <v>1.4500000000000001E-2</v>
      </c>
      <c r="E46" s="81">
        <v>1.4500000000000001E-2</v>
      </c>
      <c r="F46" s="81">
        <v>1.4500000000000001E-2</v>
      </c>
      <c r="G46" s="82">
        <v>1.4500000000000001E-2</v>
      </c>
      <c r="H46" s="58"/>
      <c r="I46" s="58"/>
    </row>
    <row r="47" spans="1:12" x14ac:dyDescent="0.25">
      <c r="A47" s="56" t="s">
        <v>51</v>
      </c>
      <c r="B47" s="71" t="s">
        <v>52</v>
      </c>
      <c r="C47" s="71" t="s">
        <v>52</v>
      </c>
      <c r="D47" s="71" t="s">
        <v>52</v>
      </c>
      <c r="E47" s="71" t="s">
        <v>52</v>
      </c>
      <c r="F47" s="71" t="s">
        <v>52</v>
      </c>
      <c r="G47" s="75" t="s">
        <v>52</v>
      </c>
    </row>
    <row r="48" spans="1:12" x14ac:dyDescent="0.25">
      <c r="A48" s="72"/>
      <c r="B48" s="88">
        <v>1.43</v>
      </c>
      <c r="C48" s="88">
        <v>1.43</v>
      </c>
      <c r="D48" s="88">
        <v>1.43</v>
      </c>
      <c r="E48" s="88">
        <v>1.43</v>
      </c>
      <c r="F48" s="88">
        <v>2.16</v>
      </c>
      <c r="G48" s="76">
        <v>2.16</v>
      </c>
    </row>
    <row r="49" spans="1:7" ht="15.75" thickBot="1" x14ac:dyDescent="0.3">
      <c r="A49" s="73"/>
      <c r="B49" s="74"/>
      <c r="C49" s="74"/>
      <c r="D49" s="74"/>
      <c r="E49" s="74"/>
      <c r="F49" s="74"/>
      <c r="G49" s="77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9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568060-c486-4946-a0fe-da97775b0583">
      <Terms xmlns="http://schemas.microsoft.com/office/infopath/2007/PartnerControls"/>
    </lcf76f155ced4ddcb4097134ff3c332f>
    <TaxCatchAll xmlns="2171ef77-3dee-4750-8dbc-0c3361acd6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250C714BEA04693EE9EB3801D04C1" ma:contentTypeVersion="15" ma:contentTypeDescription="Create a new document." ma:contentTypeScope="" ma:versionID="aba403b40de8288b6304fb0b5f1e170a">
  <xsd:schema xmlns:xsd="http://www.w3.org/2001/XMLSchema" xmlns:xs="http://www.w3.org/2001/XMLSchema" xmlns:p="http://schemas.microsoft.com/office/2006/metadata/properties" xmlns:ns2="8f568060-c486-4946-a0fe-da97775b0583" xmlns:ns3="2171ef77-3dee-4750-8dbc-0c3361acd64e" targetNamespace="http://schemas.microsoft.com/office/2006/metadata/properties" ma:root="true" ma:fieldsID="b022ddc1cc92e1882b1299efbe4679f6" ns2:_="" ns3:_="">
    <xsd:import namespace="8f568060-c486-4946-a0fe-da97775b0583"/>
    <xsd:import namespace="2171ef77-3dee-4750-8dbc-0c3361acd6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68060-c486-4946-a0fe-da97775b0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faed530-b2d6-41b5-bc32-e17c9a3072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ef77-3dee-4750-8dbc-0c3361acd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02cebd-8a6d-48d4-8eba-aec43bd3c5b8}" ma:internalName="TaxCatchAll" ma:showField="CatchAllData" ma:web="2171ef77-3dee-4750-8dbc-0c3361acd6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7322E-4F84-4AFC-97C3-42EAA6800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C482C9-4BE8-40DF-95D2-B3DC97E4DF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ADC51B-B54F-47D3-81F8-6FFE802F1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</vt:lpstr>
      <vt:lpstr>2022-23</vt:lpstr>
      <vt:lpstr>'2022-23'!Print_Area</vt:lpstr>
    </vt:vector>
  </TitlesOfParts>
  <Company>Santa Fe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Dennis O'Hearn</cp:lastModifiedBy>
  <cp:lastPrinted>2021-07-14T19:52:13Z</cp:lastPrinted>
  <dcterms:created xsi:type="dcterms:W3CDTF">2014-03-17T12:35:57Z</dcterms:created>
  <dcterms:modified xsi:type="dcterms:W3CDTF">2022-06-15T16:10:14Z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0x010100D08250C714BEA04693EE9EB3801D04C1</vt:lpwstr>
  </property>
</Properties>
</file>